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29"/>
  <workbookPr/>
  <mc:AlternateContent xmlns:mc="http://schemas.openxmlformats.org/markup-compatibility/2006">
    <mc:Choice Requires="x15">
      <x15ac:absPath xmlns:x15ac="http://schemas.microsoft.com/office/spreadsheetml/2010/11/ac" url="N:\Паспорта  СЭР г Мирный\Паспорт 2020\"/>
    </mc:Choice>
  </mc:AlternateContent>
  <xr:revisionPtr revIDLastSave="0" documentId="13_ncr:1_{E391B32A-7789-41DA-BB88-49DAAC34B5F4}" xr6:coauthVersionLast="46" xr6:coauthVersionMax="46" xr10:uidLastSave="{00000000-0000-0000-0000-000000000000}"/>
  <bookViews>
    <workbookView xWindow="-120" yWindow="-120" windowWidth="29040" windowHeight="15840" tabRatio="877" activeTab="1" xr2:uid="{00000000-000D-0000-FFFF-FFFF00000000}"/>
  </bookViews>
  <sheets>
    <sheet name="Население" sheetId="1" r:id="rId1"/>
    <sheet name="Занятые " sheetId="2" r:id="rId2"/>
    <sheet name="мто-бюдж-ЗДРАВООХРАНЕНИЕ" sheetId="3" r:id="rId3"/>
    <sheet name="мто-бюдж-ОБРАЗОВАНИЕ" sheetId="4" r:id="rId4"/>
    <sheet name="мто-бюдж-Дошкольное образование" sheetId="5" r:id="rId5"/>
    <sheet name="мто-бюдж-Администрации" sheetId="7" r:id="rId6"/>
    <sheet name="мто-бюдж-Культура" sheetId="36" r:id="rId7"/>
    <sheet name="мто-бюдж-Спорт " sheetId="38" r:id="rId8"/>
    <sheet name="объекты жкх" sheetId="8" r:id="rId9"/>
    <sheet name="котельные" sheetId="9" r:id="rId10"/>
    <sheet name="школы" sheetId="12" r:id="rId11"/>
    <sheet name="школы 2" sheetId="13" r:id="rId12"/>
    <sheet name="детдом" sheetId="14" r:id="rId13"/>
    <sheet name="больницы" sheetId="15" r:id="rId14"/>
    <sheet name="дет_учр" sheetId="17" r:id="rId15"/>
    <sheet name="культура" sheetId="18" r:id="rId16"/>
    <sheet name="школы искусств" sheetId="21" r:id="rId17"/>
    <sheet name="спорт" sheetId="22" r:id="rId18"/>
    <sheet name="ссуз" sheetId="24" r:id="rId19"/>
    <sheet name="вуз" sheetId="25" r:id="rId20"/>
    <sheet name="энерго" sheetId="26" r:id="rId21"/>
    <sheet name="транспорт 2" sheetId="28" r:id="rId22"/>
    <sheet name="дороги" sheetId="29" r:id="rId23"/>
    <sheet name="сельхоз" sheetId="32" r:id="rId24"/>
    <sheet name="сельхоз 2" sheetId="33" r:id="rId25"/>
    <sheet name="связь " sheetId="34" r:id="rId26"/>
    <sheet name="Бюджет " sheetId="42" r:id="rId27"/>
    <sheet name="Промышл" sheetId="43" r:id="rId28"/>
  </sheets>
  <externalReferences>
    <externalReference r:id="rId29"/>
    <externalReference r:id="rId30"/>
    <externalReference r:id="rId31"/>
  </externalReferenc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5" i="9" l="1"/>
  <c r="Y15" i="12" l="1"/>
  <c r="W15" i="12" s="1"/>
  <c r="AI15" i="12"/>
  <c r="X15" i="12" s="1"/>
  <c r="V15" i="12" s="1"/>
  <c r="AH15" i="12"/>
  <c r="D52" i="3" l="1"/>
  <c r="C52" i="3"/>
  <c r="B52" i="3"/>
  <c r="AP62" i="15"/>
  <c r="AM62" i="15"/>
  <c r="AL62" i="15"/>
  <c r="AJ62" i="15" s="1"/>
  <c r="AH62" i="15"/>
  <c r="AF62" i="15" s="1"/>
  <c r="AD62" i="15"/>
  <c r="AB62" i="15"/>
  <c r="X62" i="15"/>
  <c r="W62" i="15"/>
  <c r="AP61" i="15"/>
  <c r="AL61" i="15"/>
  <c r="AK61" i="15"/>
  <c r="AI61" i="15"/>
  <c r="AM61" i="15" s="1"/>
  <c r="AH61" i="15"/>
  <c r="AF61" i="15" s="1"/>
  <c r="AD61" i="15"/>
  <c r="Z61" i="15" s="1"/>
  <c r="X61" i="15" s="1"/>
  <c r="AL59" i="15"/>
  <c r="AJ59" i="15"/>
  <c r="AH59" i="15"/>
  <c r="AF59" i="15" s="1"/>
  <c r="AD59" i="15"/>
  <c r="AB59" i="15" s="1"/>
  <c r="X59" i="15"/>
  <c r="W59" i="15"/>
  <c r="AP57" i="15"/>
  <c r="AM57" i="15"/>
  <c r="AL57" i="15"/>
  <c r="AJ57" i="15"/>
  <c r="AH57" i="15"/>
  <c r="AF57" i="15" s="1"/>
  <c r="AD57" i="15"/>
  <c r="AB57" i="15"/>
  <c r="AP43" i="15"/>
  <c r="AL43" i="15"/>
  <c r="AK43" i="15"/>
  <c r="AI43" i="15"/>
  <c r="AM43" i="15" s="1"/>
  <c r="AH43" i="15"/>
  <c r="AG43" i="15"/>
  <c r="AD43" i="15"/>
  <c r="AP32" i="15"/>
  <c r="AL32" i="15"/>
  <c r="AK32" i="15"/>
  <c r="AI32" i="15"/>
  <c r="AM32" i="15" s="1"/>
  <c r="AN32" i="15" s="1"/>
  <c r="AH32" i="15"/>
  <c r="AF32" i="15" s="1"/>
  <c r="AD32" i="15"/>
  <c r="Z32" i="15" s="1"/>
  <c r="X32" i="15" s="1"/>
  <c r="AB32" i="15"/>
  <c r="AP29" i="15"/>
  <c r="AL29" i="15"/>
  <c r="AK29" i="15"/>
  <c r="AI29" i="15"/>
  <c r="AM29" i="15" s="1"/>
  <c r="AH29" i="15"/>
  <c r="AF29" i="15" s="1"/>
  <c r="AD29" i="15"/>
  <c r="AB29" i="15" s="1"/>
  <c r="AP28" i="15"/>
  <c r="AM28" i="15"/>
  <c r="AL28" i="15"/>
  <c r="AK28" i="15"/>
  <c r="AJ28" i="15"/>
  <c r="AH28" i="15"/>
  <c r="AF28" i="15" s="1"/>
  <c r="AD28" i="15"/>
  <c r="AB28" i="15"/>
  <c r="AP26" i="15"/>
  <c r="AL26" i="15"/>
  <c r="AK26" i="15"/>
  <c r="AI26" i="15"/>
  <c r="AM26" i="15" s="1"/>
  <c r="AH26" i="15"/>
  <c r="AF26" i="15" s="1"/>
  <c r="AD26" i="15"/>
  <c r="AB26" i="15" s="1"/>
  <c r="AP25" i="15"/>
  <c r="AL25" i="15"/>
  <c r="AK25" i="15"/>
  <c r="AI25" i="15"/>
  <c r="AM25" i="15" s="1"/>
  <c r="AH25" i="15"/>
  <c r="AF25" i="15" s="1"/>
  <c r="AD25" i="15"/>
  <c r="AB25" i="15"/>
  <c r="X25" i="15"/>
  <c r="W25" i="15"/>
  <c r="AP24" i="15"/>
  <c r="AL24" i="15"/>
  <c r="AJ24" i="15" s="1"/>
  <c r="AK24" i="15"/>
  <c r="AI24" i="15"/>
  <c r="AM24" i="15" s="1"/>
  <c r="AH24" i="15"/>
  <c r="AF24" i="15"/>
  <c r="AP22" i="15"/>
  <c r="AL22" i="15"/>
  <c r="AK22" i="15"/>
  <c r="AI22" i="15"/>
  <c r="AM22" i="15" s="1"/>
  <c r="AH22" i="15"/>
  <c r="AF22" i="15" s="1"/>
  <c r="X22" i="15"/>
  <c r="W22" i="15"/>
  <c r="AP21" i="15"/>
  <c r="AL21" i="15"/>
  <c r="AK21" i="15"/>
  <c r="AI21" i="15"/>
  <c r="AM21" i="15" s="1"/>
  <c r="AN21" i="15" s="1"/>
  <c r="AH21" i="15"/>
  <c r="AF21" i="15" s="1"/>
  <c r="AP8" i="15"/>
  <c r="AL8" i="15"/>
  <c r="AK8" i="15"/>
  <c r="AI8" i="15"/>
  <c r="AH8" i="15"/>
  <c r="AE8" i="15"/>
  <c r="AF8" i="15" s="1"/>
  <c r="AD8" i="15"/>
  <c r="AB8" i="15" s="1"/>
  <c r="AA8" i="15"/>
  <c r="G62" i="15"/>
  <c r="I59" i="15"/>
  <c r="G59" i="15"/>
  <c r="G44" i="15"/>
  <c r="L43" i="15"/>
  <c r="K43" i="15"/>
  <c r="J43" i="15"/>
  <c r="I43" i="15"/>
  <c r="H43" i="15"/>
  <c r="G43" i="15"/>
  <c r="G33" i="15"/>
  <c r="G32" i="15" s="1"/>
  <c r="L32" i="15"/>
  <c r="K32" i="15"/>
  <c r="J32" i="15"/>
  <c r="I32" i="15"/>
  <c r="H32" i="15"/>
  <c r="L29" i="15"/>
  <c r="K29" i="15"/>
  <c r="J29" i="15"/>
  <c r="I29" i="15"/>
  <c r="H29" i="15"/>
  <c r="G29" i="15"/>
  <c r="K26" i="15"/>
  <c r="I26" i="15"/>
  <c r="G26" i="15"/>
  <c r="C26" i="15" s="1"/>
  <c r="K24" i="15"/>
  <c r="I22" i="15"/>
  <c r="G22" i="15"/>
  <c r="L8" i="15"/>
  <c r="K8" i="15"/>
  <c r="J8" i="15"/>
  <c r="I8" i="15"/>
  <c r="H8" i="15"/>
  <c r="G8" i="15"/>
  <c r="C70" i="15"/>
  <c r="C69" i="15"/>
  <c r="C68" i="15"/>
  <c r="C67" i="15"/>
  <c r="C66" i="15"/>
  <c r="C65" i="15"/>
  <c r="C64" i="15"/>
  <c r="C63" i="15"/>
  <c r="E62" i="15"/>
  <c r="C62" i="15" s="1"/>
  <c r="C61" i="15"/>
  <c r="C60" i="15"/>
  <c r="E59" i="15"/>
  <c r="C58" i="15"/>
  <c r="C57" i="15"/>
  <c r="C55" i="15"/>
  <c r="C54" i="15"/>
  <c r="C53" i="15"/>
  <c r="C52" i="15"/>
  <c r="C51" i="15"/>
  <c r="C50" i="15"/>
  <c r="C49" i="15"/>
  <c r="C48" i="15"/>
  <c r="C47" i="15"/>
  <c r="C46" i="15"/>
  <c r="C45" i="15"/>
  <c r="E44" i="15"/>
  <c r="E43" i="15" s="1"/>
  <c r="F43" i="15"/>
  <c r="C42" i="15"/>
  <c r="C41" i="15"/>
  <c r="C40" i="15"/>
  <c r="C39" i="15"/>
  <c r="C38" i="15"/>
  <c r="C37" i="15"/>
  <c r="C36" i="15"/>
  <c r="C35" i="15"/>
  <c r="C34" i="15"/>
  <c r="E33" i="15"/>
  <c r="F32" i="15"/>
  <c r="C31" i="15"/>
  <c r="C30" i="15"/>
  <c r="F29" i="15"/>
  <c r="E29" i="15"/>
  <c r="C28" i="15"/>
  <c r="C27" i="15"/>
  <c r="E26" i="15"/>
  <c r="C25" i="15"/>
  <c r="C24" i="15"/>
  <c r="C23" i="15"/>
  <c r="E22" i="15"/>
  <c r="C21" i="15"/>
  <c r="C20" i="15"/>
  <c r="C19" i="15"/>
  <c r="C18" i="15"/>
  <c r="E17" i="15"/>
  <c r="C17" i="15" s="1"/>
  <c r="C16" i="15"/>
  <c r="C15" i="15"/>
  <c r="C14" i="15"/>
  <c r="C13" i="15"/>
  <c r="C12" i="15"/>
  <c r="C11" i="15"/>
  <c r="C10" i="15"/>
  <c r="C9" i="15"/>
  <c r="F8" i="15"/>
  <c r="Z24" i="15" l="1"/>
  <c r="X24" i="15" s="1"/>
  <c r="C33" i="15"/>
  <c r="AN24" i="15"/>
  <c r="AN25" i="15"/>
  <c r="AN43" i="15"/>
  <c r="AN61" i="15"/>
  <c r="AN62" i="15"/>
  <c r="Y62" i="15" s="1"/>
  <c r="AN28" i="15"/>
  <c r="Y28" i="15" s="1"/>
  <c r="W28" i="15" s="1"/>
  <c r="Z43" i="15"/>
  <c r="X43" i="15" s="1"/>
  <c r="Z57" i="15"/>
  <c r="AB61" i="15"/>
  <c r="Y61" i="15" s="1"/>
  <c r="W61" i="15" s="1"/>
  <c r="E8" i="15"/>
  <c r="C8" i="15" s="1"/>
  <c r="C29" i="15"/>
  <c r="AJ21" i="15"/>
  <c r="AJ22" i="15"/>
  <c r="Z26" i="15"/>
  <c r="X26" i="15" s="1"/>
  <c r="AN26" i="15"/>
  <c r="AJ29" i="15"/>
  <c r="AJ32" i="15"/>
  <c r="AJ43" i="15"/>
  <c r="AJ61" i="15"/>
  <c r="C44" i="15"/>
  <c r="AJ8" i="15"/>
  <c r="Z22" i="15"/>
  <c r="Z28" i="15"/>
  <c r="X28" i="15" s="1"/>
  <c r="AF43" i="15"/>
  <c r="AN57" i="15"/>
  <c r="Y57" i="15" s="1"/>
  <c r="Y59" i="15"/>
  <c r="Z62" i="15"/>
  <c r="Y24" i="15"/>
  <c r="W24" i="15" s="1"/>
  <c r="E32" i="15"/>
  <c r="C32" i="15" s="1"/>
  <c r="AJ25" i="15"/>
  <c r="AJ26" i="15"/>
  <c r="AB43" i="15"/>
  <c r="Y43" i="15" s="1"/>
  <c r="W43" i="15" s="1"/>
  <c r="Y32" i="15"/>
  <c r="W32" i="15" s="1"/>
  <c r="Y21" i="15"/>
  <c r="W21" i="15" s="1"/>
  <c r="AN22" i="15"/>
  <c r="Y26" i="15"/>
  <c r="W26" i="15" s="1"/>
  <c r="AN29" i="15"/>
  <c r="AM8" i="15"/>
  <c r="AN8" i="15" s="1"/>
  <c r="Z8" i="15"/>
  <c r="X8" i="15" s="1"/>
  <c r="Z25" i="15"/>
  <c r="Z29" i="15"/>
  <c r="X29" i="15" s="1"/>
  <c r="Z21" i="15"/>
  <c r="X21" i="15" s="1"/>
  <c r="Z59" i="15"/>
  <c r="C43" i="15"/>
  <c r="C59" i="15"/>
  <c r="C22" i="15"/>
  <c r="V12" i="12"/>
  <c r="W9" i="12"/>
  <c r="W10" i="12"/>
  <c r="W13" i="12"/>
  <c r="W14" i="12"/>
  <c r="X9" i="12"/>
  <c r="V9" i="12" s="1"/>
  <c r="X10" i="12"/>
  <c r="V10" i="12" s="1"/>
  <c r="X11" i="12"/>
  <c r="V11" i="12" s="1"/>
  <c r="X12" i="12"/>
  <c r="X13" i="12"/>
  <c r="V13" i="12" s="1"/>
  <c r="X14" i="12"/>
  <c r="V14" i="12" s="1"/>
  <c r="X8" i="12"/>
  <c r="V8" i="12" s="1"/>
  <c r="Y9" i="12"/>
  <c r="Y10" i="12"/>
  <c r="Y11" i="12"/>
  <c r="W11" i="12" s="1"/>
  <c r="Y12" i="12"/>
  <c r="W12" i="12" s="1"/>
  <c r="Y13" i="12"/>
  <c r="Y14" i="12"/>
  <c r="Y8" i="12"/>
  <c r="W8" i="12" s="1"/>
  <c r="AO11" i="24"/>
  <c r="AN11" i="24"/>
  <c r="AL11" i="24" s="1"/>
  <c r="AM11" i="24"/>
  <c r="AO10" i="24"/>
  <c r="AN10" i="24"/>
  <c r="AL10" i="24" s="1"/>
  <c r="AM10" i="24"/>
  <c r="AO9" i="24"/>
  <c r="AN9" i="24"/>
  <c r="AL9" i="24" s="1"/>
  <c r="AM9" i="24"/>
  <c r="AY8" i="24"/>
  <c r="AN8" i="24" s="1"/>
  <c r="AL8" i="24" s="1"/>
  <c r="AX8" i="24"/>
  <c r="AO8" i="24"/>
  <c r="AM8" i="24" s="1"/>
  <c r="Y8" i="15" l="1"/>
  <c r="W8" i="15" s="1"/>
  <c r="Y25" i="15"/>
  <c r="Y29" i="15"/>
  <c r="W29" i="15" s="1"/>
  <c r="Y22" i="15"/>
  <c r="H14" i="38"/>
  <c r="G14" i="38"/>
  <c r="A14" i="38"/>
  <c r="H13" i="38"/>
  <c r="G13" i="38"/>
  <c r="C13" i="38"/>
  <c r="A13" i="38"/>
  <c r="H12" i="38"/>
  <c r="G12" i="38"/>
  <c r="A12" i="38"/>
  <c r="H11" i="38"/>
  <c r="G11" i="38"/>
  <c r="A11" i="38"/>
  <c r="H10" i="38"/>
  <c r="G10" i="38"/>
  <c r="A10" i="38"/>
  <c r="H9" i="38"/>
  <c r="G9" i="38"/>
  <c r="C9" i="38"/>
  <c r="A9" i="38"/>
  <c r="H8" i="38"/>
  <c r="G8" i="38"/>
  <c r="C8" i="38"/>
  <c r="A8" i="38"/>
  <c r="Q11" i="22"/>
  <c r="S12" i="22"/>
  <c r="Q12" i="22" s="1"/>
  <c r="R12" i="22"/>
  <c r="P12" i="22" s="1"/>
  <c r="S11" i="22"/>
  <c r="R11" i="22"/>
  <c r="P11" i="22"/>
  <c r="E11" i="22"/>
  <c r="D11" i="22"/>
  <c r="S10" i="22"/>
  <c r="Q10" i="22" s="1"/>
  <c r="R10" i="22"/>
  <c r="P10" i="22" s="1"/>
  <c r="I10" i="22"/>
  <c r="E10" i="22"/>
  <c r="D10" i="22"/>
  <c r="S9" i="22"/>
  <c r="R9" i="22"/>
  <c r="Q9" i="22"/>
  <c r="P9" i="22"/>
  <c r="E9" i="22"/>
  <c r="D9" i="22"/>
  <c r="S8" i="22"/>
  <c r="Q8" i="22" s="1"/>
  <c r="R8" i="22"/>
  <c r="P8" i="22" s="1"/>
  <c r="E8" i="22"/>
  <c r="D8" i="22"/>
  <c r="E9" i="42" l="1"/>
  <c r="E11" i="42"/>
  <c r="E13" i="42"/>
  <c r="E14" i="42"/>
  <c r="E16" i="42"/>
  <c r="E17" i="42"/>
  <c r="E18" i="42"/>
  <c r="E20" i="42"/>
  <c r="E24" i="42"/>
  <c r="E25" i="42"/>
  <c r="E26" i="42"/>
  <c r="E29" i="42"/>
  <c r="E30" i="42"/>
  <c r="E31" i="42"/>
  <c r="E32" i="42"/>
  <c r="E34" i="42"/>
  <c r="E36" i="42"/>
  <c r="E37" i="42"/>
  <c r="E38" i="42"/>
  <c r="E40" i="42"/>
  <c r="E41" i="42"/>
  <c r="E43" i="42"/>
  <c r="E44" i="42"/>
  <c r="E45" i="42"/>
  <c r="E47" i="42"/>
  <c r="E48" i="42"/>
  <c r="E8" i="42"/>
  <c r="C32" i="42"/>
  <c r="C48" i="42"/>
  <c r="D48" i="42"/>
  <c r="C20" i="42"/>
  <c r="C31" i="42"/>
  <c r="C24" i="42"/>
  <c r="D32" i="42" l="1"/>
  <c r="D31" i="42"/>
  <c r="D24" i="42"/>
  <c r="D20" i="42"/>
  <c r="B60" i="1" l="1"/>
  <c r="B46" i="1" l="1"/>
  <c r="B44" i="1"/>
  <c r="B45" i="1"/>
  <c r="B43" i="1"/>
  <c r="B41" i="1"/>
  <c r="B36" i="1"/>
  <c r="B31" i="1"/>
  <c r="B30" i="1"/>
  <c r="B21" i="1" l="1"/>
  <c r="AN8" i="25" l="1"/>
  <c r="AL8" i="25" s="1"/>
  <c r="AO8" i="25"/>
  <c r="AM8" i="25" s="1"/>
  <c r="AK8" i="25"/>
  <c r="AJ8" i="25"/>
  <c r="AI8" i="25"/>
  <c r="AH8" i="25"/>
  <c r="AG8" i="25"/>
  <c r="AF8" i="25"/>
  <c r="AE8" i="25"/>
  <c r="AD8" i="25"/>
  <c r="AC8" i="25"/>
  <c r="AB8" i="25"/>
  <c r="X22" i="17" l="1"/>
  <c r="W22" i="17"/>
  <c r="X21" i="17"/>
  <c r="W21" i="17"/>
  <c r="X20" i="17"/>
  <c r="W20" i="17"/>
  <c r="AB19" i="17"/>
  <c r="AB8" i="17" s="1"/>
  <c r="X19" i="17"/>
  <c r="W19" i="17"/>
  <c r="X18" i="17"/>
  <c r="W18" i="17"/>
  <c r="X17" i="17"/>
  <c r="W17" i="17"/>
  <c r="X16" i="17"/>
  <c r="W16" i="17"/>
  <c r="X15" i="17"/>
  <c r="W15" i="17"/>
  <c r="X14" i="17"/>
  <c r="W14" i="17"/>
  <c r="X13" i="17"/>
  <c r="W13" i="17"/>
  <c r="X12" i="17"/>
  <c r="W12" i="17"/>
  <c r="X11" i="17"/>
  <c r="W11" i="17"/>
  <c r="X10" i="17"/>
  <c r="W10" i="17"/>
  <c r="X9" i="17"/>
  <c r="X8" i="17" s="1"/>
  <c r="W9" i="17"/>
  <c r="W8" i="17" s="1"/>
  <c r="AR8" i="17"/>
  <c r="AQ8" i="17"/>
  <c r="AP8" i="17"/>
  <c r="AO8" i="17"/>
  <c r="AN8" i="17"/>
  <c r="AM8" i="17"/>
  <c r="AL8" i="17"/>
  <c r="AK8" i="17"/>
  <c r="AJ8" i="17"/>
  <c r="AI8" i="17"/>
  <c r="AH8" i="17"/>
  <c r="AG8" i="17"/>
  <c r="AF8" i="17"/>
  <c r="AE8" i="17"/>
  <c r="AD8" i="17"/>
  <c r="AC8" i="17"/>
  <c r="AA8" i="17"/>
  <c r="Z8" i="17"/>
  <c r="Y8" i="17"/>
  <c r="T8" i="17"/>
  <c r="S8" i="17"/>
  <c r="R8" i="17"/>
  <c r="Q8" i="17"/>
  <c r="P8" i="17"/>
  <c r="O8" i="17"/>
  <c r="N8" i="17"/>
  <c r="M8" i="17"/>
  <c r="L8" i="17"/>
  <c r="K8" i="17"/>
  <c r="G8" i="17"/>
  <c r="F8" i="17"/>
  <c r="E8" i="17"/>
  <c r="D8" i="17"/>
  <c r="G10" i="2" l="1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1" i="2"/>
  <c r="G62" i="2"/>
  <c r="G63" i="2"/>
  <c r="G65" i="2"/>
  <c r="G66" i="2"/>
  <c r="G67" i="2"/>
  <c r="G69" i="2"/>
  <c r="G70" i="2"/>
  <c r="G71" i="2"/>
  <c r="G72" i="2"/>
  <c r="G73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9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110" i="2"/>
  <c r="G111" i="2"/>
  <c r="G112" i="2"/>
  <c r="G114" i="2"/>
  <c r="G115" i="2"/>
  <c r="G116" i="2"/>
  <c r="G117" i="2"/>
  <c r="G119" i="2"/>
  <c r="G120" i="2"/>
  <c r="G121" i="2"/>
  <c r="G122" i="2"/>
  <c r="G123" i="2"/>
  <c r="G124" i="2"/>
  <c r="G125" i="2"/>
  <c r="G126" i="2"/>
  <c r="B109" i="2"/>
  <c r="B108" i="2" s="1"/>
  <c r="B93" i="2"/>
  <c r="B91" i="2"/>
  <c r="B90" i="2" s="1"/>
  <c r="B89" i="2"/>
  <c r="B67" i="2"/>
  <c r="B64" i="2" s="1"/>
  <c r="B61" i="2"/>
  <c r="B60" i="2" s="1"/>
  <c r="B31" i="2"/>
  <c r="F7" i="2"/>
  <c r="C13" i="2"/>
  <c r="D13" i="2"/>
  <c r="E13" i="2"/>
  <c r="F13" i="2"/>
  <c r="C30" i="2"/>
  <c r="G30" i="2" s="1"/>
  <c r="D30" i="2"/>
  <c r="E30" i="2"/>
  <c r="E7" i="2" s="1"/>
  <c r="F30" i="2"/>
  <c r="B30" i="2"/>
  <c r="C60" i="2"/>
  <c r="G60" i="2" s="1"/>
  <c r="D60" i="2"/>
  <c r="E60" i="2"/>
  <c r="F60" i="2"/>
  <c r="C64" i="2"/>
  <c r="G64" i="2" s="1"/>
  <c r="D64" i="2"/>
  <c r="E64" i="2"/>
  <c r="F64" i="2"/>
  <c r="C74" i="2"/>
  <c r="G74" i="2" s="1"/>
  <c r="D74" i="2"/>
  <c r="E74" i="2"/>
  <c r="F74" i="2"/>
  <c r="D78" i="2"/>
  <c r="E78" i="2"/>
  <c r="F78" i="2"/>
  <c r="C78" i="2"/>
  <c r="B78" i="2"/>
  <c r="E77" i="2"/>
  <c r="F77" i="2"/>
  <c r="C77" i="2"/>
  <c r="D77" i="2"/>
  <c r="C90" i="2"/>
  <c r="G90" i="2" s="1"/>
  <c r="D90" i="2"/>
  <c r="E90" i="2"/>
  <c r="F90" i="2"/>
  <c r="C98" i="2"/>
  <c r="D98" i="2"/>
  <c r="E98" i="2"/>
  <c r="F98" i="2"/>
  <c r="C113" i="2"/>
  <c r="G113" i="2" s="1"/>
  <c r="D113" i="2"/>
  <c r="E113" i="2"/>
  <c r="F113" i="2"/>
  <c r="B113" i="2"/>
  <c r="C118" i="2"/>
  <c r="G118" i="2" s="1"/>
  <c r="D118" i="2"/>
  <c r="E118" i="2"/>
  <c r="F118" i="2"/>
  <c r="B118" i="2"/>
  <c r="B98" i="2"/>
  <c r="B84" i="2"/>
  <c r="B77" i="2"/>
  <c r="B74" i="2"/>
  <c r="B68" i="2"/>
  <c r="B55" i="2"/>
  <c r="B13" i="2"/>
  <c r="B16" i="2"/>
  <c r="B14" i="2"/>
  <c r="B22" i="2"/>
  <c r="B27" i="2"/>
  <c r="B23" i="2"/>
  <c r="B17" i="2"/>
  <c r="B9" i="2"/>
  <c r="B120" i="2"/>
  <c r="B107" i="2"/>
  <c r="B102" i="2"/>
  <c r="B88" i="2"/>
  <c r="B85" i="2"/>
  <c r="B81" i="2"/>
  <c r="B72" i="2"/>
  <c r="B66" i="2"/>
  <c r="B62" i="2"/>
  <c r="B63" i="2"/>
  <c r="B58" i="2"/>
  <c r="B52" i="2"/>
  <c r="B21" i="2"/>
  <c r="C108" i="2"/>
  <c r="D108" i="2"/>
  <c r="E108" i="2"/>
  <c r="F108" i="2"/>
  <c r="C105" i="2"/>
  <c r="D105" i="2"/>
  <c r="E105" i="2"/>
  <c r="F105" i="2"/>
  <c r="C88" i="2"/>
  <c r="G88" i="2" s="1"/>
  <c r="D88" i="2"/>
  <c r="E88" i="2"/>
  <c r="F88" i="2"/>
  <c r="C84" i="2"/>
  <c r="D84" i="2"/>
  <c r="E84" i="2"/>
  <c r="F84" i="2"/>
  <c r="C68" i="2"/>
  <c r="G68" i="2" s="1"/>
  <c r="D68" i="2"/>
  <c r="E68" i="2"/>
  <c r="F68" i="2"/>
  <c r="C55" i="2"/>
  <c r="D55" i="2"/>
  <c r="E55" i="2"/>
  <c r="F55" i="2"/>
  <c r="C53" i="2"/>
  <c r="D53" i="2"/>
  <c r="E53" i="2"/>
  <c r="F53" i="2"/>
  <c r="B105" i="2"/>
  <c r="B53" i="2"/>
  <c r="D7" i="2" l="1"/>
  <c r="B7" i="2"/>
  <c r="B29" i="2"/>
  <c r="C9" i="2"/>
  <c r="D9" i="2"/>
  <c r="E9" i="2"/>
  <c r="F9" i="2"/>
  <c r="B16" i="1"/>
  <c r="B18" i="1"/>
  <c r="B11" i="1"/>
  <c r="B6" i="1"/>
  <c r="C7" i="2" l="1"/>
  <c r="G7" i="2" s="1"/>
  <c r="G9" i="2"/>
</calcChain>
</file>

<file path=xl/sharedStrings.xml><?xml version="1.0" encoding="utf-8"?>
<sst xmlns="http://schemas.openxmlformats.org/spreadsheetml/2006/main" count="2281" uniqueCount="898">
  <si>
    <t>Население</t>
  </si>
  <si>
    <t>Поселение: п. Аллах-Юнь</t>
  </si>
  <si>
    <t>(человек)</t>
  </si>
  <si>
    <t>Показатели</t>
  </si>
  <si>
    <t>На 1 января</t>
  </si>
  <si>
    <t>мужчин</t>
  </si>
  <si>
    <t>женщин</t>
  </si>
  <si>
    <t>Численность детей</t>
  </si>
  <si>
    <t>из них от 0-6 лет</t>
  </si>
  <si>
    <t>от 7-17 лет</t>
  </si>
  <si>
    <t>Число родившихся за год</t>
  </si>
  <si>
    <t>Число умерших за год</t>
  </si>
  <si>
    <t>из них в возрасте до 1 года</t>
  </si>
  <si>
    <t>Число прибывших - всего</t>
  </si>
  <si>
    <t>Число выбывших</t>
  </si>
  <si>
    <t>Численность трудоспособного населения в трудоспособном возрасте</t>
  </si>
  <si>
    <t>Численность официально зарегистрированных безработных</t>
  </si>
  <si>
    <t>из них работающие</t>
  </si>
  <si>
    <t>Численность инвалидов</t>
  </si>
  <si>
    <t>Количество семей</t>
  </si>
  <si>
    <t>из них малоимущих семей</t>
  </si>
  <si>
    <t>в них человек</t>
  </si>
  <si>
    <t>Число семей, состоящих на учёте для улучшения жилищных условий на конец года</t>
  </si>
  <si>
    <t>Среднесписочная численность занятых в экономике</t>
  </si>
  <si>
    <t>(за январь-декабрь года, предшествующего отчетному)</t>
  </si>
  <si>
    <t>Отчётная дата: 2018 год</t>
  </si>
  <si>
    <t>Занятые на предприятиях и организациях</t>
  </si>
  <si>
    <t>Занятые индивидуальной трудовой деятельностью и по найму у отдельных граждан</t>
  </si>
  <si>
    <t>Занятые в личных подсобных хозяйствах</t>
  </si>
  <si>
    <t>По договорам ГПХ на условиях первичной занятости</t>
  </si>
  <si>
    <t>Иностранные граждане</t>
  </si>
  <si>
    <t>ВСЕГО</t>
  </si>
  <si>
    <t>Всего занятых по наслегу</t>
  </si>
  <si>
    <t>из них:</t>
  </si>
  <si>
    <t>Рыболовство, рыбоводство</t>
  </si>
  <si>
    <t>Добыча полезных ископаемых</t>
  </si>
  <si>
    <t>добыча топливно-энергетических полезных ископаемых</t>
  </si>
  <si>
    <t>добыча каменного угля, бурого угля</t>
  </si>
  <si>
    <t>добыча сырой нефти и природного газа, предоставление услуг в этих областях</t>
  </si>
  <si>
    <t>добыча сырой нефти и природного газа</t>
  </si>
  <si>
    <t>добыча сырой нефти и нефтяного (попутного) газа; извлечение фракций из нефтяного (попутного) газа</t>
  </si>
  <si>
    <t>предоставление услуг по добыче нефти и газа</t>
  </si>
  <si>
    <t>добыча полезных ископаемых, кроме топливно-энергетических</t>
  </si>
  <si>
    <t>добыча металлических руд</t>
  </si>
  <si>
    <t>добыча рудипесков драгоценных металлов (золота, серебра и металлов платиновой группы)</t>
  </si>
  <si>
    <t>добыча и обогащение оловянной руды</t>
  </si>
  <si>
    <t>добыча и обогащение сурьмяно-ртутных руд и руды прочих металлов</t>
  </si>
  <si>
    <t>добыча прочих полезных ископаемых, из них</t>
  </si>
  <si>
    <t>добыча драгоценных и полудрагоценных камней, кроме алмазов, самоцветов и янтаря</t>
  </si>
  <si>
    <t>добыча алмазов</t>
  </si>
  <si>
    <t>Обрабатывающие производства</t>
  </si>
  <si>
    <t>производство резиновых и пластмассовых изделий</t>
  </si>
  <si>
    <t>Строительство</t>
  </si>
  <si>
    <t>деятельность водного транспорта</t>
  </si>
  <si>
    <t>операции с недвижимым имуществом</t>
  </si>
  <si>
    <t>Государственное управление и обеспечение военной безопасности; обязательное социальное обеспечение</t>
  </si>
  <si>
    <t>Образование</t>
  </si>
  <si>
    <t>деятельность в области здравоохранения</t>
  </si>
  <si>
    <t>ветеринарная деятельность</t>
  </si>
  <si>
    <t>Сводная техническая характеристика учреждений бюджетной сферы</t>
  </si>
  <si>
    <t>Здравоохранение</t>
  </si>
  <si>
    <t>Наименование объекта</t>
  </si>
  <si>
    <t>Здания</t>
  </si>
  <si>
    <t>Площадь, кв.м.</t>
  </si>
  <si>
    <t>Объём здания по наружному обмеру, куб.м.</t>
  </si>
  <si>
    <t>Год ввода</t>
  </si>
  <si>
    <t>Типовое - 1, приспособленное - 2</t>
  </si>
  <si>
    <t>Тех. состояние (авар. и ветх. - 1, треб.кап.рем. - 2, удовл. - 3)</t>
  </si>
  <si>
    <t>Оборудованы всеми видами благоустройства(благоустроенное - 1, неблагоустроенное - 2)</t>
  </si>
  <si>
    <t>Центральное отопление (имеется - 1, отсутствует - 2)</t>
  </si>
  <si>
    <t>Поставщик эл.энергии (с указанием эл.станции)</t>
  </si>
  <si>
    <t>Поставщик теплоэнергии (с указанием котельной)</t>
  </si>
  <si>
    <t>Вид строения (каменное - 1, деревянное - 2)</t>
  </si>
  <si>
    <t>Дошкольное образование</t>
  </si>
  <si>
    <t>Технические характеристики объектов ЖКХ</t>
  </si>
  <si>
    <t>Ведомственная принадлежность объекта (УЖКХ или другое) и год ввода в действие</t>
  </si>
  <si>
    <t>Мощность объекта</t>
  </si>
  <si>
    <t>Присоединённая нагрузка (тыс.куб.м./сутки)</t>
  </si>
  <si>
    <t>Год последнего капитального ремонта</t>
  </si>
  <si>
    <t>Протяжённость сетей (км)</t>
  </si>
  <si>
    <t>Количество работающих</t>
  </si>
  <si>
    <t>Технические характеристики котельных</t>
  </si>
  <si>
    <t>Наименование котельной</t>
  </si>
  <si>
    <t>Ведомственная принадлежность котельной (УЖКХ или другое) и год ввода в действие</t>
  </si>
  <si>
    <t>Вид топлива и поставщик (марка топлива)</t>
  </si>
  <si>
    <t>Количество котлов и марка</t>
  </si>
  <si>
    <t>Количество насосов (отдельно указать циркуляц., подпиточные)</t>
  </si>
  <si>
    <t>КПД (в процентах)</t>
  </si>
  <si>
    <t>Год последнего капитального ремонта котельной и котлов</t>
  </si>
  <si>
    <t>Мощность котельной (Гкал)</t>
  </si>
  <si>
    <t>Присоединённая нагрузка (Гкал)</t>
  </si>
  <si>
    <t>Протяжённость тепловых сетей (в км)</t>
  </si>
  <si>
    <t>Годовой расход топлива (тонн)</t>
  </si>
  <si>
    <t>в том числе:</t>
  </si>
  <si>
    <t>Всего</t>
  </si>
  <si>
    <t>Общеобразовательные школы</t>
  </si>
  <si>
    <t>Наименования школ</t>
  </si>
  <si>
    <t>Ведомств. принадлежность</t>
  </si>
  <si>
    <t>Количество ученических мест по проекту</t>
  </si>
  <si>
    <t>Количество учащихся</t>
  </si>
  <si>
    <t>Всего работников</t>
  </si>
  <si>
    <t>в том числе</t>
  </si>
  <si>
    <t>Кол-во шт.ед.</t>
  </si>
  <si>
    <t>Кол-во факт. работников</t>
  </si>
  <si>
    <t>Факт</t>
  </si>
  <si>
    <t>1 смена</t>
  </si>
  <si>
    <t>2-3 смена</t>
  </si>
  <si>
    <t>Кол-во педставок</t>
  </si>
  <si>
    <t>Выпуск учащихся (за последний учебный год)</t>
  </si>
  <si>
    <t>Наименование школы</t>
  </si>
  <si>
    <t>в ПТУ</t>
  </si>
  <si>
    <t>в ссузы</t>
  </si>
  <si>
    <t>в вузы</t>
  </si>
  <si>
    <t>на работу</t>
  </si>
  <si>
    <t>в армию</t>
  </si>
  <si>
    <t>прочие</t>
  </si>
  <si>
    <t>Детские дома и специальные школы-интернаты</t>
  </si>
  <si>
    <t>Наименование детского дома, школы-интерната</t>
  </si>
  <si>
    <t>Ведомственная принадлежность</t>
  </si>
  <si>
    <t>Кол-во  мест по проекту</t>
  </si>
  <si>
    <t>Кол-во классов (ед.)</t>
  </si>
  <si>
    <t>Из них педработники</t>
  </si>
  <si>
    <t>Кол-во штат.ед</t>
  </si>
  <si>
    <t>всего</t>
  </si>
  <si>
    <t>из них учителя</t>
  </si>
  <si>
    <t>Наименование лечебно-профилактических учреждений</t>
  </si>
  <si>
    <t>Всего персонал</t>
  </si>
  <si>
    <t>Количество врачей</t>
  </si>
  <si>
    <t>Количество среднего медицинского персонала</t>
  </si>
  <si>
    <t>Аптечные магазины</t>
  </si>
  <si>
    <t>Государственные</t>
  </si>
  <si>
    <t>Частные</t>
  </si>
  <si>
    <t>Кол-во</t>
  </si>
  <si>
    <t>Т/оборот</t>
  </si>
  <si>
    <t>Детские дошкольные учреждения</t>
  </si>
  <si>
    <t>Название учреждения</t>
  </si>
  <si>
    <t>Бюджетные - 1, ведомственные - 2</t>
  </si>
  <si>
    <t>Дето-дни посещения детьми  ДДУ</t>
  </si>
  <si>
    <t>Количество групп (ед.)</t>
  </si>
  <si>
    <t>Численность детей, состоящих на учете для определения в дошкольное учреждение</t>
  </si>
  <si>
    <t>из них воспитатели</t>
  </si>
  <si>
    <t xml:space="preserve">Учреждения культуры </t>
  </si>
  <si>
    <t>Дома культуры</t>
  </si>
  <si>
    <t>в них мест</t>
  </si>
  <si>
    <t>Количество штатных единиц</t>
  </si>
  <si>
    <t>Численность фактически работающих</t>
  </si>
  <si>
    <t>Библиотеки</t>
  </si>
  <si>
    <t>Число читателей</t>
  </si>
  <si>
    <t>Музеи</t>
  </si>
  <si>
    <t>число посещений</t>
  </si>
  <si>
    <t>Театры</t>
  </si>
  <si>
    <t>Прочие (народные коллективы-народные театры, танцевальные, хоровые и т.п., и прочие культурно-досуговые учреждения)</t>
  </si>
  <si>
    <t>Число киноустановок</t>
  </si>
  <si>
    <t>Число издаваемых газет</t>
  </si>
  <si>
    <t>тираж</t>
  </si>
  <si>
    <t xml:space="preserve">Ведомственная принадлежность </t>
  </si>
  <si>
    <t>Численность учащихся</t>
  </si>
  <si>
    <t>Из них преподавателей</t>
  </si>
  <si>
    <t>Школы искусств</t>
  </si>
  <si>
    <t>Наименование</t>
  </si>
  <si>
    <t>Среднегодовая численность учащихся</t>
  </si>
  <si>
    <t>Прием учащихся</t>
  </si>
  <si>
    <t>Выпуск учащихся за последний учебный год</t>
  </si>
  <si>
    <t>Проект</t>
  </si>
  <si>
    <t>Средние специальные учебные заведения</t>
  </si>
  <si>
    <t>Наименование учебного заведения</t>
  </si>
  <si>
    <t>Высшие учебные заведения</t>
  </si>
  <si>
    <t>Энергообеспеченность</t>
  </si>
  <si>
    <t>Тип электростанции</t>
  </si>
  <si>
    <t>Мощность (тыс.кВт)</t>
  </si>
  <si>
    <t>Присоединённая нагрузка (тыс.кВт)</t>
  </si>
  <si>
    <t>Вид топлива</t>
  </si>
  <si>
    <t>Число работников</t>
  </si>
  <si>
    <t>в т.ч. ИТР</t>
  </si>
  <si>
    <t>Данные о транспортной доступности населенного пункта</t>
  </si>
  <si>
    <t>Название населенного пункта</t>
  </si>
  <si>
    <t>По состоянию на 1 января</t>
  </si>
  <si>
    <t>Расстояние до улусного центра (км)</t>
  </si>
  <si>
    <t>Расстояние до ближайшего населенного пункта (км)</t>
  </si>
  <si>
    <t>Наличие сообщения с улусным центром:</t>
  </si>
  <si>
    <t>при перевозке пассажиров:</t>
  </si>
  <si>
    <t>маршрутными автобусами (периодичность)</t>
  </si>
  <si>
    <t>речным транспортом (периодичность)</t>
  </si>
  <si>
    <t>воздушным транспортом (периодичность)</t>
  </si>
  <si>
    <t>при перевозке грузов:</t>
  </si>
  <si>
    <t>автомобильным транспортом (периодичность)</t>
  </si>
  <si>
    <t>Наличие авиационной площадки</t>
  </si>
  <si>
    <t>Дороги</t>
  </si>
  <si>
    <t>(км)</t>
  </si>
  <si>
    <t>Общая протяженность дорог общего пользования</t>
  </si>
  <si>
    <t>Участок дороги, проходящий через территорию населенного пункта</t>
  </si>
  <si>
    <t>Федерального значения</t>
  </si>
  <si>
    <t>в т.ч. с твердым покрытием</t>
  </si>
  <si>
    <t>Республиканского значения</t>
  </si>
  <si>
    <t>Ведомственные и частные дороги</t>
  </si>
  <si>
    <t>Земельный баланс</t>
  </si>
  <si>
    <t>Общая площадь земель (тыс. га)</t>
  </si>
  <si>
    <t>Общая площадь земель сельскохозяйственного назначения - всего (тыс.га)</t>
  </si>
  <si>
    <t>пашни</t>
  </si>
  <si>
    <t>залежи</t>
  </si>
  <si>
    <t>многолетние насаждения</t>
  </si>
  <si>
    <t>сенокосы</t>
  </si>
  <si>
    <t>пастбища</t>
  </si>
  <si>
    <t>из сельскохозяйственных угодий земли:</t>
  </si>
  <si>
    <t>предприятий общественного сектора</t>
  </si>
  <si>
    <t>крестьянских хозяйств и родовых общин</t>
  </si>
  <si>
    <t>личных подворий</t>
  </si>
  <si>
    <t>Количество землевладельцев, всего</t>
  </si>
  <si>
    <t>Земли населенных пунктов</t>
  </si>
  <si>
    <t>Земли особо охраняемых территорий</t>
  </si>
  <si>
    <t>Земли лесного фонда</t>
  </si>
  <si>
    <t>Земли водного фонда</t>
  </si>
  <si>
    <t>Земли запаса</t>
  </si>
  <si>
    <t>Основные показатели сельского хозяйства</t>
  </si>
  <si>
    <t>Основной показатель</t>
  </si>
  <si>
    <t>Количество хозяйств, всего (единиц)</t>
  </si>
  <si>
    <t>сельхозпредприятия</t>
  </si>
  <si>
    <t>гос. унитарные предприятия</t>
  </si>
  <si>
    <t>коллективные предприятия</t>
  </si>
  <si>
    <t>агрофирмы</t>
  </si>
  <si>
    <t>сельхозкооперативы</t>
  </si>
  <si>
    <t>конезаводы</t>
  </si>
  <si>
    <t>опытно - производственные хозяйства</t>
  </si>
  <si>
    <t>птицефабрики</t>
  </si>
  <si>
    <t>прочие предприятия</t>
  </si>
  <si>
    <t>крестьянские хозяйства</t>
  </si>
  <si>
    <t>родовые общины</t>
  </si>
  <si>
    <t>кроме того хозяйства населения</t>
  </si>
  <si>
    <t>Посевная площадь, всего (га)</t>
  </si>
  <si>
    <t>картофеля</t>
  </si>
  <si>
    <t>общественного сектора</t>
  </si>
  <si>
    <t>хозяйств населения</t>
  </si>
  <si>
    <t>овощей открытого грунта</t>
  </si>
  <si>
    <t>овощей закрытого грунта (тыс.кв.м)</t>
  </si>
  <si>
    <t>зерновых</t>
  </si>
  <si>
    <t>кормовых</t>
  </si>
  <si>
    <t>Численность сельхозживотных (голов)</t>
  </si>
  <si>
    <t>крупного рогатого скота</t>
  </si>
  <si>
    <t>в том числе коров</t>
  </si>
  <si>
    <t>лошадей</t>
  </si>
  <si>
    <t>свиней</t>
  </si>
  <si>
    <t>оленей</t>
  </si>
  <si>
    <t>птиц</t>
  </si>
  <si>
    <t>Объем производства сельскохозяйственной продукции (тонн)</t>
  </si>
  <si>
    <t>скота и птицы (жив.вес)</t>
  </si>
  <si>
    <t>молока</t>
  </si>
  <si>
    <t>яиц (тыс. шт.)</t>
  </si>
  <si>
    <t>рыбодобыча</t>
  </si>
  <si>
    <t>овощей</t>
  </si>
  <si>
    <t>зерна</t>
  </si>
  <si>
    <t>Объем закупок сельскохозяйственной продукции (тонн)</t>
  </si>
  <si>
    <t>Развитие семейной экономики</t>
  </si>
  <si>
    <t>Поставлено сельскозяйственных животных с начала года (голов)</t>
  </si>
  <si>
    <t>поросят</t>
  </si>
  <si>
    <t>гусей</t>
  </si>
  <si>
    <t>индоуток</t>
  </si>
  <si>
    <t>перепелов</t>
  </si>
  <si>
    <t>коз</t>
  </si>
  <si>
    <t>кроликов</t>
  </si>
  <si>
    <t>КРС</t>
  </si>
  <si>
    <t>голубых песцов</t>
  </si>
  <si>
    <t>серебристо-черных лисиц</t>
  </si>
  <si>
    <t>Поставлено кормов (ц)</t>
  </si>
  <si>
    <t>комбикормов</t>
  </si>
  <si>
    <t>зернофуража</t>
  </si>
  <si>
    <t>семенного и посадочного материала</t>
  </si>
  <si>
    <t xml:space="preserve">Поселение: </t>
  </si>
  <si>
    <t>Отчётная дата: 2019 год</t>
  </si>
  <si>
    <t>Культура</t>
  </si>
  <si>
    <t>Спортивные объекты</t>
  </si>
  <si>
    <t>Сельское, лесное хозяйство, охота, рыболовство и рыбоводство</t>
  </si>
  <si>
    <t>Растениеводство и животноводство, охота и предоставление соответствующих услуг в этих областях</t>
  </si>
  <si>
    <t>Лесоводство и лесозаготовки</t>
  </si>
  <si>
    <t>добыча горючих сланцев и битуминозных песков и извлечение из них нефти</t>
  </si>
  <si>
    <t>добыча природного газа и жидких углеводородов (конденсата)</t>
  </si>
  <si>
    <t>Обеспечение электрической энергией, газом и паром; кондицинирование воздуха</t>
  </si>
  <si>
    <t>производство пищевых продуктов</t>
  </si>
  <si>
    <t>производство напитков</t>
  </si>
  <si>
    <t>производство текстильных изделий</t>
  </si>
  <si>
    <t>производство одежды</t>
  </si>
  <si>
    <t>производство кожи и изделий из кожи</t>
  </si>
  <si>
    <t>обработка древесины и производство изделий из дерева и пробки, кроме мебели, производство изделий из соломки и материалов для плетения</t>
  </si>
  <si>
    <t>производство бумаги и бумажных изделий</t>
  </si>
  <si>
    <t>деятельность полиграфическая и копирование носителей информации</t>
  </si>
  <si>
    <t>производство кокса и нефтепродуктов</t>
  </si>
  <si>
    <t>производство химических веществ и химических продуктов</t>
  </si>
  <si>
    <t>производство лекарственных средств и материалов, применяемых в медицинских целях</t>
  </si>
  <si>
    <t>производство прочей неметаллической минеральной продукции</t>
  </si>
  <si>
    <t>производство металлургическое</t>
  </si>
  <si>
    <t>производство готовых металлических изделий, кроме машин и оборудования</t>
  </si>
  <si>
    <t>производство компьютеров, электронных и оптических изделий</t>
  </si>
  <si>
    <t>производство электрического оборудования</t>
  </si>
  <si>
    <t>производство машин и оборудования, не включенных в другие группировки</t>
  </si>
  <si>
    <t>производство автотранспортных средств, прицепов и полуприцепов</t>
  </si>
  <si>
    <t>производство прочих транспортных средств и оборудования</t>
  </si>
  <si>
    <t>производство прочих готовых изделий</t>
  </si>
  <si>
    <t>ремонт и монтаж машин и оборудования</t>
  </si>
  <si>
    <t>обспечение электрической энергией, газом и паром; кондицинирование воздуха</t>
  </si>
  <si>
    <t xml:space="preserve">Водоснабжение; водоотведение, организация сбора и организации отходов, деятельность по ликвидации загрязнений </t>
  </si>
  <si>
    <t>Забор очистка и распределение воды</t>
  </si>
  <si>
    <t>Сбор обработка сточных вод</t>
  </si>
  <si>
    <t>Сбор обработка и утилизации отходов; обработка вторичного сырья</t>
  </si>
  <si>
    <t>Предоставление услуг в области ликвидации последствий загрязнений и прочих услуг, связанных с удалением отходов</t>
  </si>
  <si>
    <t>Строительство зданий</t>
  </si>
  <si>
    <t>Строительство инженерных сооружений</t>
  </si>
  <si>
    <t>Работы строительные специализированные</t>
  </si>
  <si>
    <t>Торговля оптовая и розничная: ремонт автотранспортных средств и мотоциклов</t>
  </si>
  <si>
    <t>Торговля оптовая и розничная автотранспортными средствами и мотоциклами и их ремонт</t>
  </si>
  <si>
    <t>Торговля оптовая, кроме оптовой торговл автотранспортными средствами и мотоциклами</t>
  </si>
  <si>
    <t>Торговля розничная, кроме торговли автотранспортными средствами и мотоциклами</t>
  </si>
  <si>
    <t>Транспортировка и хранение</t>
  </si>
  <si>
    <t>деятельность сухопутного и трубопроводного транспорта</t>
  </si>
  <si>
    <t>деятельность воздушного и космического транспорта</t>
  </si>
  <si>
    <t>складское хозяйство и вспомогательная транспортная деятельность</t>
  </si>
  <si>
    <t>деятельность почтовой связи и курьерская деятельность</t>
  </si>
  <si>
    <t>Деятельность гостиниц и предприятий общественного питания</t>
  </si>
  <si>
    <t>деятельность по предоставлению мест для временного проживания</t>
  </si>
  <si>
    <t>деятельность по предоставлению продуктов питания и напитков</t>
  </si>
  <si>
    <t xml:space="preserve">Деятельность в области информации и связи </t>
  </si>
  <si>
    <t>деятельность издательская</t>
  </si>
  <si>
    <t>производство кинофильмов, видеофильмов и телевизионных программ, издание звукозаписей и нот</t>
  </si>
  <si>
    <t>деятельность в области телевизионного и радиовещания</t>
  </si>
  <si>
    <t>деятельность в сфере телекоммуникаций</t>
  </si>
  <si>
    <t>разработка компьютерного программного обеспечения, консультационные услуги в данной области и другие сопутствующие услуги</t>
  </si>
  <si>
    <t>деятельность в области информационных технологий</t>
  </si>
  <si>
    <t xml:space="preserve">Деятельность финансовая и страховая </t>
  </si>
  <si>
    <t>деятельность по предоставлению финансовых услуг, кроме услуг по страхованию и пенсионному обеспечению</t>
  </si>
  <si>
    <t>страхование, перестрахование, деятельность негосударственных пенсионных фондов, кроме обязательного социального обеспечения</t>
  </si>
  <si>
    <t>деятелельность вспомогательная в сфере финансовых услуг и страхования</t>
  </si>
  <si>
    <t xml:space="preserve">Деятельность по операциям с недвижимым имуществом </t>
  </si>
  <si>
    <t>Деятельность профессиональная, научная и техническая</t>
  </si>
  <si>
    <t>деятельность в области права и бухгалтерского учета</t>
  </si>
  <si>
    <t>деятельность головных офисов; консультирование по вопросам управления</t>
  </si>
  <si>
    <t>деятельность в области архитектуры и инженерно- технического проектирования; технических испытаний, исследований и анализа</t>
  </si>
  <si>
    <t xml:space="preserve">научные исследования и разработки </t>
  </si>
  <si>
    <t xml:space="preserve">деятельность рекламная и исследование конъюнктуры рынка </t>
  </si>
  <si>
    <t>Деятельность профессиональная, научная и техническая прочая</t>
  </si>
  <si>
    <t xml:space="preserve">Деятельность ветеринарная </t>
  </si>
  <si>
    <t>Деятельность административная и сопутствующие дополнительные услуги</t>
  </si>
  <si>
    <t>аренда и лизинг</t>
  </si>
  <si>
    <t>деятельность по трудоустройству и подбору персонала</t>
  </si>
  <si>
    <t xml:space="preserve">деятельность туристических агенств и прочих организаций, предоставляющих услуги в сфере туризма </t>
  </si>
  <si>
    <t>деятельность по обеспечению безопасности и проведению расследования</t>
  </si>
  <si>
    <t>деятельность по обслуживанию зданий и территорий</t>
  </si>
  <si>
    <t xml:space="preserve">деятельность административно-хозяйственная, вспомогательная деятельность по обеспечению функционирования организации, деятельность по предоставлению прочих вспомогательных услуг для бизнеса </t>
  </si>
  <si>
    <t>Деятельность органов государственного управления по обеспечению военной безопасности, обязательному социальному обеспечению</t>
  </si>
  <si>
    <t>Деятельность в области здравоохранения и социальных услуг</t>
  </si>
  <si>
    <t>деятельность по уходу с обеспечением проживания</t>
  </si>
  <si>
    <t>предоставление социальных услуг без обеспечения проживания</t>
  </si>
  <si>
    <t xml:space="preserve">Деятельность в области культуры, спорта, организации досуга и развлечений </t>
  </si>
  <si>
    <t>деятельность творческая, деятельность в области искусства и организации развлечений</t>
  </si>
  <si>
    <t>деятельность библиотек, архивов, музеев и прочих объектов культуры</t>
  </si>
  <si>
    <t>деятельность по организации и проведению азартных игр по заключению пари,  по организации и проведению лотерей</t>
  </si>
  <si>
    <t>деятельность в области спорта, отдыха и развлечений</t>
  </si>
  <si>
    <t xml:space="preserve">Предоставление прочих видов услуг </t>
  </si>
  <si>
    <t>деятельность общественных организаций</t>
  </si>
  <si>
    <t>ремонт компьютеров, предметов личного потребления и хозяйственно-бытового назначения</t>
  </si>
  <si>
    <t>деятельность по предоставлению прочих персональных услуг</t>
  </si>
  <si>
    <t>Деятельность домашних хозяйств как работадателей; недиферинцированная деятельность частных домашних хозяйств по производству товаров и оказанию услуг для собственного потребления</t>
  </si>
  <si>
    <t>деятельность домашних хозяйств с наемными работниками</t>
  </si>
  <si>
    <t>деятельность недиференцированная частных домашних хозяйств по производству товаров и предоставлению услуг для собственного потребления</t>
  </si>
  <si>
    <t xml:space="preserve">Деятельность экстерриториальных организаций и органов </t>
  </si>
  <si>
    <t xml:space="preserve">деятельность экстерриториальных организаций и органов </t>
  </si>
  <si>
    <t>муниципальные унитарные предприятия</t>
  </si>
  <si>
    <t>акционерные общества</t>
  </si>
  <si>
    <t>рыбы</t>
  </si>
  <si>
    <t>грубых кормов</t>
  </si>
  <si>
    <t xml:space="preserve">Основные показатели по бюджету </t>
  </si>
  <si>
    <t>Единица измерения:  тыс.руб</t>
  </si>
  <si>
    <t>№</t>
  </si>
  <si>
    <t>Темп роста в %</t>
  </si>
  <si>
    <t>2018 год</t>
  </si>
  <si>
    <t>2019 год</t>
  </si>
  <si>
    <t>ДОХОДЫ</t>
  </si>
  <si>
    <t>1</t>
  </si>
  <si>
    <t>Налоговые и неналоговые доходы</t>
  </si>
  <si>
    <t>1.1</t>
  </si>
  <si>
    <t>Налоги на прибыль, доходы</t>
  </si>
  <si>
    <t>1.2</t>
  </si>
  <si>
    <t>Налоги на товары (работы, услуги)</t>
  </si>
  <si>
    <t>1.3</t>
  </si>
  <si>
    <t>Налоги на имущество</t>
  </si>
  <si>
    <t>1.4</t>
  </si>
  <si>
    <t>Налоги, сборы и регулярные платежи за пользование природными ресурсами</t>
  </si>
  <si>
    <t>1.5</t>
  </si>
  <si>
    <t>Прочие налоговые доходы</t>
  </si>
  <si>
    <t>1.6</t>
  </si>
  <si>
    <t>Доходы от использования имущества</t>
  </si>
  <si>
    <t>1.7</t>
  </si>
  <si>
    <t>Платежи при пользовании природными ресурсами</t>
  </si>
  <si>
    <t>1.8</t>
  </si>
  <si>
    <t>Доходы от оказания платных услуг (работ) и компенсации затрат государства</t>
  </si>
  <si>
    <t>1.9</t>
  </si>
  <si>
    <t>Доходы от продажи материальных и нематериальных активов</t>
  </si>
  <si>
    <t>1.10</t>
  </si>
  <si>
    <t>Штрафы, санкции, возмещение ущерба</t>
  </si>
  <si>
    <t>1.11</t>
  </si>
  <si>
    <t>Прочие неналоговые доходы</t>
  </si>
  <si>
    <t>2</t>
  </si>
  <si>
    <t>Безвозмездные поступления от других бюджетов бюджетной системы РФ</t>
  </si>
  <si>
    <t>2.1</t>
  </si>
  <si>
    <t>Дотации на выравнивание уровня бюджетной обеспеченности</t>
  </si>
  <si>
    <t>2.2</t>
  </si>
  <si>
    <t>Дотации на поддержку мер по обеспечению сбалансированности местных бюджетов</t>
  </si>
  <si>
    <t>2.3</t>
  </si>
  <si>
    <t>Субсидии на софинансирование расходных обязательств ОМСУ</t>
  </si>
  <si>
    <t>2.4</t>
  </si>
  <si>
    <t>Субвенции на исполнение делегированных государственных полномочий</t>
  </si>
  <si>
    <t>2.5</t>
  </si>
  <si>
    <t>Иные межбюджетные трансферты</t>
  </si>
  <si>
    <t>2.6</t>
  </si>
  <si>
    <t>Межбюджетные трансферты на осуществление расходных обязательств ОМСУ в части полномочий по решению вопросов местного значения, переданных в соответствии с заключенным между ОМСУ муниципального района и поселения соглашением</t>
  </si>
  <si>
    <t>2.7</t>
  </si>
  <si>
    <t>Прочие безвозмездные поступления от бюджетов сельских поселений</t>
  </si>
  <si>
    <t>3</t>
  </si>
  <si>
    <t>Прочие безвозмездные поступления от организаций</t>
  </si>
  <si>
    <t>4</t>
  </si>
  <si>
    <t>Возврат остатков межбюджетных трансфертов, имеющих целевое назначение, прошлых лет</t>
  </si>
  <si>
    <t>ВСЕГО ДОХОДОВ</t>
  </si>
  <si>
    <t>Профицит (+) / Дефицит (-)</t>
  </si>
  <si>
    <t>РАСХОДЫ</t>
  </si>
  <si>
    <t>01</t>
  </si>
  <si>
    <t>Общегосударственные вопросы</t>
  </si>
  <si>
    <t>02</t>
  </si>
  <si>
    <t>Национальная оборона</t>
  </si>
  <si>
    <t>03</t>
  </si>
  <si>
    <t>Национальная безопасность и правоохранительная деятельность</t>
  </si>
  <si>
    <t>04</t>
  </si>
  <si>
    <t>Национальная экономика</t>
  </si>
  <si>
    <t>05</t>
  </si>
  <si>
    <t>Жилищно-коммунальное хозяйство</t>
  </si>
  <si>
    <t>06</t>
  </si>
  <si>
    <t>Охрана окружающей среды</t>
  </si>
  <si>
    <t>07</t>
  </si>
  <si>
    <t>08</t>
  </si>
  <si>
    <t>Культура, кинематография</t>
  </si>
  <si>
    <t>09</t>
  </si>
  <si>
    <t>10</t>
  </si>
  <si>
    <t>Социальная политика</t>
  </si>
  <si>
    <t>11</t>
  </si>
  <si>
    <t>Физическая культура и спорт</t>
  </si>
  <si>
    <t>12</t>
  </si>
  <si>
    <t>Средства массовой информации</t>
  </si>
  <si>
    <t>13</t>
  </si>
  <si>
    <t>Обслуживание государственного и муниципального долга</t>
  </si>
  <si>
    <t>14</t>
  </si>
  <si>
    <t>Межбюджетные трансферты общего характера бюджетам бюджетной системы РФ</t>
  </si>
  <si>
    <t>ВСЕГО РАСХОДОВ</t>
  </si>
  <si>
    <t>Исполнение</t>
  </si>
  <si>
    <t>Утвержденный план на начало</t>
  </si>
  <si>
    <t>МО</t>
  </si>
  <si>
    <t xml:space="preserve">Количество   семей, имеющих трех и более детей  </t>
  </si>
  <si>
    <t xml:space="preserve">Численность занятых в экономике </t>
  </si>
  <si>
    <t xml:space="preserve">Численность населения старше трудоспособного возраста </t>
  </si>
  <si>
    <t xml:space="preserve">Численность безработных граждан в трудоспособном возрасте </t>
  </si>
  <si>
    <t xml:space="preserve">Объем медицинской помощи </t>
  </si>
  <si>
    <t>Плановый (в натуральных единицах (посещений, законченных случаев))</t>
  </si>
  <si>
    <t>Фактический  (в натуральных единицах (посещений, законченных случаев))</t>
  </si>
  <si>
    <t>Количество младшего  медицинского персонала</t>
  </si>
  <si>
    <t>Количество вспомогательного персонала</t>
  </si>
  <si>
    <t>Основной персонал</t>
  </si>
  <si>
    <t>АУП</t>
  </si>
  <si>
    <t>Вспомогательный персонал</t>
  </si>
  <si>
    <t xml:space="preserve">Факт. кол-во детей </t>
  </si>
  <si>
    <t>Русский язык</t>
  </si>
  <si>
    <t>В том числе АУП</t>
  </si>
  <si>
    <t xml:space="preserve">Основной персонал </t>
  </si>
  <si>
    <t>Посещаемость кол-во чел.</t>
  </si>
  <si>
    <t xml:space="preserve">Форма собственности </t>
  </si>
  <si>
    <t>Связь</t>
  </si>
  <si>
    <t>Количество телефонных станций и подстанций ГП "Сахателеком"</t>
  </si>
  <si>
    <t>Общая монтированная емкость телефонных станций-номеров</t>
  </si>
  <si>
    <t>в т.ч. автоматической системы</t>
  </si>
  <si>
    <t>Общая использованная емкость телефонных станций-номеров</t>
  </si>
  <si>
    <t>Общее количество радиоузлов</t>
  </si>
  <si>
    <t>в т.ч. принадлежащих ГП "Сахателеком"</t>
  </si>
  <si>
    <t>Количество радиотрансляционных точек</t>
  </si>
  <si>
    <t>в т.ч. имеющие многопрограммные радиотрансляционные точки</t>
  </si>
  <si>
    <t>Возможность принимать телевизионные программы:</t>
  </si>
  <si>
    <t>в т.ч.:</t>
  </si>
  <si>
    <t>одну программу</t>
  </si>
  <si>
    <t>две программы</t>
  </si>
  <si>
    <t>три и более программы</t>
  </si>
  <si>
    <t>Возможность принимать республиканские программы (&gt; 0 - есть, 0 - нет)</t>
  </si>
  <si>
    <t>Отделения почтовой связи (единиц)</t>
  </si>
  <si>
    <t>Наличие мобильной связи и интернета</t>
  </si>
  <si>
    <t>Мобильный оператор</t>
  </si>
  <si>
    <t>Количество койко-мест в больничных организациях*</t>
  </si>
  <si>
    <t>круглосуточные</t>
  </si>
  <si>
    <t>дневные</t>
  </si>
  <si>
    <t>норматив</t>
  </si>
  <si>
    <t>факт</t>
  </si>
  <si>
    <t>в т.ч. площадь  основных лечебных учреждений, кв.м.</t>
  </si>
  <si>
    <t>Уровень износа, %</t>
  </si>
  <si>
    <t>Год последнего кап.ремонта</t>
  </si>
  <si>
    <t>электроэнергия</t>
  </si>
  <si>
    <t xml:space="preserve">норматив </t>
  </si>
  <si>
    <t>Расходы на коммунальные услуги за 2018 год</t>
  </si>
  <si>
    <t>теплоснабжение</t>
  </si>
  <si>
    <t>Тыс. кВт. ч.</t>
  </si>
  <si>
    <t>Тыс. руб.</t>
  </si>
  <si>
    <t>водоотведение</t>
  </si>
  <si>
    <t xml:space="preserve">м³ </t>
  </si>
  <si>
    <t>Расходы на вывоз ТБО</t>
  </si>
  <si>
    <t>Гкал - центр. отопл;
M³ - газ, дрова;
Тонн - уголь</t>
  </si>
  <si>
    <t>водоснабжение</t>
  </si>
  <si>
    <t>Всего, тыс. руб.</t>
  </si>
  <si>
    <t>ВСЕГО РАСХОДОВ, тыс. руб.</t>
  </si>
  <si>
    <t>Кол-во мест в учебных корпусах</t>
  </si>
  <si>
    <t>Кол-во мест в общежитиях</t>
  </si>
  <si>
    <t xml:space="preserve">очное </t>
  </si>
  <si>
    <t>заочное</t>
  </si>
  <si>
    <t>очно-заочное</t>
  </si>
  <si>
    <t>бюджет</t>
  </si>
  <si>
    <t>платное</t>
  </si>
  <si>
    <t>Наименование учреждения</t>
  </si>
  <si>
    <t>Клубные формирования</t>
  </si>
  <si>
    <t>Число, ед.</t>
  </si>
  <si>
    <t>Кол-во участников, чел.</t>
  </si>
  <si>
    <t>Культурно-массовые мероприятия</t>
  </si>
  <si>
    <t>Количество посещений, чел.</t>
  </si>
  <si>
    <t>Из них на платной основе</t>
  </si>
  <si>
    <t>Учреждения спорта и спортивные объекты</t>
  </si>
  <si>
    <t>Описание объекта (арочный, в составе КСК, крытый/открытый стадион, площадка и т.д.)</t>
  </si>
  <si>
    <t>Загруженность, %</t>
  </si>
  <si>
    <t>Мощность (Единовременная пропускная способность), чел.</t>
  </si>
  <si>
    <t>Спортивные секции</t>
  </si>
  <si>
    <t>Из них по массовым видам спорта</t>
  </si>
  <si>
    <t>Количество секций, ед.</t>
  </si>
  <si>
    <t>Число занимающихся, чел.</t>
  </si>
  <si>
    <t>моложе трудоспособного возраста (0-15 лет)</t>
  </si>
  <si>
    <t>трудоспособного возраста (16-54 лет женщины, 16-59 лет мужчины)</t>
  </si>
  <si>
    <t>старше трудоспособного возраста (женщины 55 лет и старше; мужчины 60 лет и старше)</t>
  </si>
  <si>
    <t>трудоспособного возраста (16-59 лет)</t>
  </si>
  <si>
    <t>старше трудоспособного возраста (60 лет и старше)</t>
  </si>
  <si>
    <t>трудоспособного возраста (16-54 лет )</t>
  </si>
  <si>
    <t>старше трудоспособного возраста (55 лет и старше)</t>
  </si>
  <si>
    <t>Естественный прирост (убыль) населения, всего</t>
  </si>
  <si>
    <t>Миграционное сальдо, всего</t>
  </si>
  <si>
    <t xml:space="preserve">Численность лиц старше трудоспособного возраста, занятых в экономике
</t>
  </si>
  <si>
    <t>Численность детей - инвалидов</t>
  </si>
  <si>
    <t xml:space="preserve"> численность подростков, занятых в экономике</t>
  </si>
  <si>
    <t>Численность учащихся трудоспособного возраста, обучающихся с отрывом от производства</t>
  </si>
  <si>
    <t>Численность населения в трудоспособном возрасте, не занятого в экономике;</t>
  </si>
  <si>
    <t>Вид объекта</t>
  </si>
  <si>
    <t>Количество объектов</t>
  </si>
  <si>
    <t>Размещение: 1. отдельно стоящее (указать кол-во этажей); 2. часть здания (перечислить кол-во занимаемых этажей или на каком этаже расположен)</t>
  </si>
  <si>
    <t>площадь  спортивного зала, кв.м.</t>
  </si>
  <si>
    <t>площадь  актового зала, кв.м.</t>
  </si>
  <si>
    <t>площадь закрытого плавательного бассейна, кв.м.</t>
  </si>
  <si>
    <t>в том числе при наличии в основном корпусе</t>
  </si>
  <si>
    <t>Водоснабжение (имеется - 1, отсутствует - 2)</t>
  </si>
  <si>
    <t>Водоотведение (имеется - 1, отсутствует - 2)</t>
  </si>
  <si>
    <t>Оборудованы всеми видами благоустройства(благоустроенное - 1, неблагоустроенное - 2, частично благоустроенное - 3)</t>
  </si>
  <si>
    <t>Охрана объекта:
Договор на охрану объекта - 1, Установлена система видеонаблюдения - 2, Установления тревожная сигнализация - 3</t>
  </si>
  <si>
    <t>Количество классов</t>
  </si>
  <si>
    <t>Количество дошкольных групп</t>
  </si>
  <si>
    <t>При наличии интерната - количество койко-мест в интернате</t>
  </si>
  <si>
    <t>Количество воспитанников в дошкольных группах</t>
  </si>
  <si>
    <t>Количество учеников, проживающих в интернате</t>
  </si>
  <si>
    <t>Распределение выпускников:</t>
  </si>
  <si>
    <t>Численность выпускников</t>
  </si>
  <si>
    <t>допущенных на сдачу ЕГЭ (ОГЭ)</t>
  </si>
  <si>
    <t xml:space="preserve"> получивших аттестат (свидетельство) об образовании </t>
  </si>
  <si>
    <t>Численность выпускников, сдавших  ЕГЭ (ОГЭ)</t>
  </si>
  <si>
    <t>Математика</t>
  </si>
  <si>
    <t>Средний балл ЕГЭ (ОГЭ)</t>
  </si>
  <si>
    <t>Численность воспитанников в учреждениях, чел.</t>
  </si>
  <si>
    <t>Мощность объекта (Количество мест по проекту)</t>
  </si>
  <si>
    <t>от 2 мес. до 1,5 лет</t>
  </si>
  <si>
    <t>от 1,5 лет до 3 лет</t>
  </si>
  <si>
    <t>от 3 лет до 7 лет</t>
  </si>
  <si>
    <t>Максимальная скорость доступа к Интернету</t>
  </si>
  <si>
    <t>Максимальная скорость фиксированного (проводного и беспроводного) доступа к Интернету (модемное подключение через коммутируемую телефонную I24 ISDN связь, цифровая абонентская линия (технология xDL и т.д.) другая кабельная связь беспроводная связь)</t>
  </si>
  <si>
    <t>Максимальная скорость мобильного доступа к Интернету (через любое устройство: портативный компьютер или мобильный сотовый телефон и т.д.)</t>
  </si>
  <si>
    <t>ДОБЫЧА ПОЛЕЗНЫХ ИСКОПАЕМЫХ</t>
  </si>
  <si>
    <t>ОБРАБАТЫВАЮЩИЕ ПРОИЗВОДСТВА</t>
  </si>
  <si>
    <t>ОБЕСПЕЧЕНИЕ ЭЛЕКТРИЧЕСКОЙ ЭНЕРГИЕЙ, ГАЗОМ И ПАРОМ; КОНДИЦИОНИРОВАНИЕ ВОЗДУХА</t>
  </si>
  <si>
    <t>ВОДОСНАБЖЕНИЕ; ВОДООТВЕДЕНИЕ, ОРГАНИЗАЦИЯ СБОРА И УТИЛИЗАЦИИ ОТХОДОВ, ДЕЯТЕЛЬНОСТЬ ПО ЛИКВИДАЦИИ ЗАГРЯЗНЕНИЙ</t>
  </si>
  <si>
    <t>ПРОМЫШЛЕННОЕ ПРОИЗВОДСТВО (ПРОМЫШЛЕННОСТЬ) из них:</t>
  </si>
  <si>
    <t>Земли промышленности</t>
  </si>
  <si>
    <t>Земли транспорта</t>
  </si>
  <si>
    <t>Земли иного назначения</t>
  </si>
  <si>
    <t>Земли предприятий промышленности, транспорта, и иного несельскохозяйственного назначения, из них:</t>
  </si>
  <si>
    <t>Средний размер хозяйств, человек</t>
  </si>
  <si>
    <t>Отчётная дата: 1 января 2020 года</t>
  </si>
  <si>
    <t>Численность постоянного населения, всего</t>
  </si>
  <si>
    <t>Отчётная дата: 2020 год</t>
  </si>
  <si>
    <t xml:space="preserve">Муниципального значения </t>
  </si>
  <si>
    <t>Промышленность</t>
  </si>
  <si>
    <t>Администрация наслега</t>
  </si>
  <si>
    <t>Отчётная дата: на 01 января 2020 года</t>
  </si>
  <si>
    <t>На 1 января, единиц</t>
  </si>
  <si>
    <t>АН ДОО "Алмазик"</t>
  </si>
  <si>
    <t>Мирнинское отделение</t>
  </si>
  <si>
    <t>Детский сад № 1 "Олененок"</t>
  </si>
  <si>
    <t>1, 3 эт</t>
  </si>
  <si>
    <t>ЗЭС "Якутскэнерго" (п/ст "Районная"</t>
  </si>
  <si>
    <t>ООО "ПТВС" (СВК)</t>
  </si>
  <si>
    <t xml:space="preserve"> Детский сад № 2 "Саардана"</t>
  </si>
  <si>
    <t>1, 2 эт</t>
  </si>
  <si>
    <t>Детский сад № 3 "Золотой ключик"</t>
  </si>
  <si>
    <t>Детский сад № 4 "Лукоморье"</t>
  </si>
  <si>
    <t>Детский сад № 5 "Семицветик"</t>
  </si>
  <si>
    <t>Детский сад № 6 "Березка"</t>
  </si>
  <si>
    <t>Детский сад № 8 "Чоппууска"</t>
  </si>
  <si>
    <t>Детский сад № 11 "Теремок"</t>
  </si>
  <si>
    <t>Детский сад № 12 "Солнышко"</t>
  </si>
  <si>
    <t>Детский сад № 13 "Карлсон"</t>
  </si>
  <si>
    <t>Детский сад № 14 "Медвежонок"</t>
  </si>
  <si>
    <t>Детский сад № 52 "Крепыш"</t>
  </si>
  <si>
    <t>Детский сад № 54 "Белоснежка"</t>
  </si>
  <si>
    <t xml:space="preserve"> Детский сад № 55 "Сулусчан"</t>
  </si>
  <si>
    <t>МПТИ (ф) СВФУ</t>
  </si>
  <si>
    <t>6</t>
  </si>
  <si>
    <t>Административное здание</t>
  </si>
  <si>
    <t>Энергосбыт</t>
  </si>
  <si>
    <t>1,2,3</t>
  </si>
  <si>
    <t>Учебный корпус</t>
  </si>
  <si>
    <t>Спортзал</t>
  </si>
  <si>
    <t>Учебно-лабораторный корпус</t>
  </si>
  <si>
    <t>Студенческое общежитие на 200 мест №4</t>
  </si>
  <si>
    <t>Студенческое общежитие т №3</t>
  </si>
  <si>
    <t>5% на 2004 г..</t>
  </si>
  <si>
    <t>Политехнический институт (филиал) федерального государственного автономного образовательного учреждения высшего образования "Северо-Восточный федеральный университет имени М. К. Аммосова" в г. Мирном</t>
  </si>
  <si>
    <t>Министерство науки и высшего образования РФ</t>
  </si>
  <si>
    <t>Государственное казенное учреждение Республики (Саха) "Мирнинский социально-реабилитационный центр для несовершеннолетних "Харысхал"</t>
  </si>
  <si>
    <t>Административное здание по ул. Ленина, 16</t>
  </si>
  <si>
    <t>ПАО "Якутскэнерго" (Вилюйская ГЭС/Л-201)</t>
  </si>
  <si>
    <t>ООО "ПТВС" (Северо-восточная котельная г. Мирный")</t>
  </si>
  <si>
    <t>Административное помещение по ул. Ленина, 11</t>
  </si>
  <si>
    <t>Здание гараж (бокс) под легковые автомашины</t>
  </si>
  <si>
    <t xml:space="preserve">СК "им. 60-летия Победы" </t>
  </si>
  <si>
    <t>КСК АК "АЛРОСА" ПАО</t>
  </si>
  <si>
    <t>ФОК "Олимп"</t>
  </si>
  <si>
    <t>П/б "Кристалл"</t>
  </si>
  <si>
    <t>СОК "Алмазная долина"</t>
  </si>
  <si>
    <t xml:space="preserve">Лыжная база "Заречная"МАУ "УСКиМП" </t>
  </si>
  <si>
    <t>МО "Город Мирный" МО "Город Мирный"</t>
  </si>
  <si>
    <t>14.25</t>
  </si>
  <si>
    <t>Лыжная база "Заречная"МАУ "УСКиМП" МО "Город Мирный" МО "Город Мирный"</t>
  </si>
  <si>
    <t xml:space="preserve"> крытый, открытые лыжные трассы 2,3,5 км</t>
  </si>
  <si>
    <t xml:space="preserve">отдельно стоящее,одноитажное </t>
  </si>
  <si>
    <t>Западные электросети ,Чернышевская ГЭС</t>
  </si>
  <si>
    <t>ООО "ПТВС"Северо-Восточная</t>
  </si>
  <si>
    <t xml:space="preserve"> сэнгвич-панели</t>
  </si>
  <si>
    <t>спортивная площадка</t>
  </si>
  <si>
    <t>-</t>
  </si>
  <si>
    <t xml:space="preserve">1. отдельно стоящее 4 этажное </t>
  </si>
  <si>
    <t>1. Типовое</t>
  </si>
  <si>
    <t>1. благоустроенное</t>
  </si>
  <si>
    <t>1. имеется</t>
  </si>
  <si>
    <t>2. Установлена система видеонаблюдения</t>
  </si>
  <si>
    <t>1. каменное</t>
  </si>
  <si>
    <t>ГАПОУ РС (Я) "МРТК" г.Мирный</t>
  </si>
  <si>
    <t>2.треб.кап.рем.</t>
  </si>
  <si>
    <t>нет данных</t>
  </si>
  <si>
    <t>ПАО «Якутскэнерго»</t>
  </si>
  <si>
    <t xml:space="preserve">ООО "ПТВС" СВК  </t>
  </si>
  <si>
    <t>ГАПОУ РС(Я) "МРТК" филиал "Светлинский"</t>
  </si>
  <si>
    <t>Министерство образования и науки РС(Я)</t>
  </si>
  <si>
    <t>ГАПОУ РС(Я) "МРТК" филиал "Айхальский"</t>
  </si>
  <si>
    <t>ГАПОУ РС(Я) "МРТК" филиал "Удачнинский"</t>
  </si>
  <si>
    <t xml:space="preserve">ГАПОУ РС(Я) "МРТК" </t>
  </si>
  <si>
    <t>МБОУ СОШ № 1</t>
  </si>
  <si>
    <t>нежилое</t>
  </si>
  <si>
    <t>1 (3 этажа)</t>
  </si>
  <si>
    <t>2006г.</t>
  </si>
  <si>
    <t>АО "ЯКУТСКЭНЕРГО</t>
  </si>
  <si>
    <t>ООО "ПТВС"</t>
  </si>
  <si>
    <t>МБОУ "Политехнический лицей"</t>
  </si>
  <si>
    <t>272,7/95,9</t>
  </si>
  <si>
    <t>1. (3)</t>
  </si>
  <si>
    <t>МБОУ "СОШ №7"</t>
  </si>
  <si>
    <t>1 (3)</t>
  </si>
  <si>
    <t>ПАО "Якутскэнерго"</t>
  </si>
  <si>
    <t>МАОУ "СОШ№8"</t>
  </si>
  <si>
    <t>нежилое (школа)</t>
  </si>
  <si>
    <t>1. (3 этажа); 2. (3 этажа )</t>
  </si>
  <si>
    <t xml:space="preserve">ПАО АК "Якутскэнерго";    ТП -нижняя школа           </t>
  </si>
  <si>
    <t>ООО "ПТВС"; СВК-ЦТП школа№8</t>
  </si>
  <si>
    <t>нежилое (помещение в здании ш.Кирова1)</t>
  </si>
  <si>
    <t xml:space="preserve">1. отдельностоящее; 2 .занимаем 1 этаж 2 кабинета ,2 этаж 5 каб. </t>
  </si>
  <si>
    <t>нежилое (гараж ул.Вилюйская 7)</t>
  </si>
  <si>
    <t>состоит на балансе мун.казны</t>
  </si>
  <si>
    <t>1.отдельностоящее, этажей нет</t>
  </si>
  <si>
    <t>НОВОЕ</t>
  </si>
  <si>
    <t>ПЕТРОПАНЕЛИ</t>
  </si>
  <si>
    <t>МАОУ "СОШ №12"</t>
  </si>
  <si>
    <t xml:space="preserve"> - </t>
  </si>
  <si>
    <t>Якутскэнерго</t>
  </si>
  <si>
    <t>МАОУ "СОШ № 26"</t>
  </si>
  <si>
    <t>1(3 этажа)</t>
  </si>
  <si>
    <t>нет</t>
  </si>
  <si>
    <t>МКОУ "Школа-интернат"</t>
  </si>
  <si>
    <t xml:space="preserve"> -</t>
  </si>
  <si>
    <t>2 (3 этажа)</t>
  </si>
  <si>
    <t>"Якутскэнерго"</t>
  </si>
  <si>
    <t>МАУ ДО "ЦДО" г. Мирный</t>
  </si>
  <si>
    <t>2 (1 этаж)</t>
  </si>
  <si>
    <t xml:space="preserve">ОАО АК "Якутскэнерго",  Каскад ВГЭС им. Е.Н. Батенчука </t>
  </si>
  <si>
    <t>ПТВС АК "АЛРОСА" (ПАО) , СВК ГАЗ</t>
  </si>
  <si>
    <t>МУ ДО  "ДЮСШ" Детский дворец спорта  (Индустриальная 1)</t>
  </si>
  <si>
    <t>Якутскэнерго "Энергосбыт"</t>
  </si>
  <si>
    <t>МУ ДО  "ДЮСШ"  Зал единоборств (40 лет Октября 9)</t>
  </si>
  <si>
    <t xml:space="preserve"> МУ ДО  "ДЮСШ" Зал художественной гимнастики (Ленинградский проспект1/1)</t>
  </si>
  <si>
    <t>МОБУ "ЦПМСС "Доверие"</t>
  </si>
  <si>
    <t>9-этажный жилой дом</t>
  </si>
  <si>
    <t>2. 1 этаж</t>
  </si>
  <si>
    <t>1, 2, 3</t>
  </si>
  <si>
    <t>муниципалитет</t>
  </si>
  <si>
    <t>МБОУ "СОШ №1"</t>
  </si>
  <si>
    <t>МАОУ "СОШ №8"</t>
  </si>
  <si>
    <t>МАОУ "СОШ №26"</t>
  </si>
  <si>
    <t>Дворец культуры "Алмаз" КСК АК "АЛРОСА" (ПАО) (с ДТБ)</t>
  </si>
  <si>
    <t>ЦГБ и ДРБ МКУ "МИБС"</t>
  </si>
  <si>
    <t>Историко-производственный музей,                                  Музей кимберлитов им. Д.И. Саврасова</t>
  </si>
  <si>
    <t>Автономное учреждение Республики Саха (Якутия) "Мирнинский театр"</t>
  </si>
  <si>
    <t>Автономное</t>
  </si>
  <si>
    <t xml:space="preserve">МБУ ДО "ДШИ г. Мирного" </t>
  </si>
  <si>
    <t>МО "Мирнинский район"</t>
  </si>
  <si>
    <t>ЦГБ г. Мирный Ленинградский проспект д. 48 "а" МКУ "МИБС"</t>
  </si>
  <si>
    <t>здание 2-х этаж, занимает 1,2 этаж</t>
  </si>
  <si>
    <t>ПАО ЯКУТСКЭНЕРГО</t>
  </si>
  <si>
    <t>ООО ПТВС</t>
  </si>
  <si>
    <t>1. ООО "Охрана сервис Светлый"</t>
  </si>
  <si>
    <t>ДК "Алмаз" г. Мирный КСК АК "АЛРОСА" (ПАО)</t>
  </si>
  <si>
    <t>Историко-производственный музей</t>
  </si>
  <si>
    <t>2. (на первом этаже)</t>
  </si>
  <si>
    <t>1,3</t>
  </si>
  <si>
    <t>Музей Кимберлитов им. Д.И. Саврасова</t>
  </si>
  <si>
    <t>2. аренда части здания, 2 этаж</t>
  </si>
  <si>
    <t xml:space="preserve">ПАО "Якутскэнерго" </t>
  </si>
  <si>
    <t xml:space="preserve">АУ РС (Я) "Мирнинский театр" </t>
  </si>
  <si>
    <t>1 (4 этажа)</t>
  </si>
  <si>
    <t>ПАО "Якутскэнерго", ТП-35 РУ-0,4</t>
  </si>
  <si>
    <t>ООО "ПТВС", ЦТП-11</t>
  </si>
  <si>
    <t>1,2</t>
  </si>
  <si>
    <t>МБУ ДО "ДШИ" г. Мирного (Музыкальное отделение)</t>
  </si>
  <si>
    <t xml:space="preserve">1 (2 этажа) </t>
  </si>
  <si>
    <t>ПТВС-СВК</t>
  </si>
  <si>
    <t>МБУ ДО "ДШИ" г. Мирного (Художественное отделение)</t>
  </si>
  <si>
    <t>2 (часть здания, 2 этажа)</t>
  </si>
  <si>
    <t>Мирный</t>
  </si>
  <si>
    <t>3,7 км. (п. Березовка)</t>
  </si>
  <si>
    <t>0</t>
  </si>
  <si>
    <t>ТРК "Алмазный край" (прием сигнала по оптике, вещвется через приставки IPTV)</t>
  </si>
  <si>
    <t>1 - Якутия 24 (прием сигнала по оптике, вещвется через приставки IPTV)</t>
  </si>
  <si>
    <t>до 100 мбит/сек.</t>
  </si>
  <si>
    <t>Главный корпус (стационар)</t>
  </si>
  <si>
    <t>188</t>
  </si>
  <si>
    <t xml:space="preserve">ОБМП </t>
  </si>
  <si>
    <t>ЦСО</t>
  </si>
  <si>
    <t>РАО</t>
  </si>
  <si>
    <t>хирургическое отделение</t>
  </si>
  <si>
    <t>травматология</t>
  </si>
  <si>
    <t>терапевтическое</t>
  </si>
  <si>
    <t>детское отделение</t>
  </si>
  <si>
    <t>ПСО</t>
  </si>
  <si>
    <t>Аптека</t>
  </si>
  <si>
    <t>Приемное отделение</t>
  </si>
  <si>
    <t>ОХГД</t>
  </si>
  <si>
    <t>Пищеблок</t>
  </si>
  <si>
    <t>Родильный дом</t>
  </si>
  <si>
    <t>75</t>
  </si>
  <si>
    <t>Скорая помощь+АТЦ</t>
  </si>
  <si>
    <t>Женская консультация</t>
  </si>
  <si>
    <t>77</t>
  </si>
  <si>
    <t>Стоматологическая поликлиника +зубопр</t>
  </si>
  <si>
    <t>87</t>
  </si>
  <si>
    <t>паталоанотомический корпус</t>
  </si>
  <si>
    <t>Паталогоанотомический корпус (новый) (исследования)</t>
  </si>
  <si>
    <t>Лабораторный корпус</t>
  </si>
  <si>
    <t>в т.ч. Иммунология</t>
  </si>
  <si>
    <t>баклаборатория</t>
  </si>
  <si>
    <t>Взрослая поликлиника</t>
  </si>
  <si>
    <t>532</t>
  </si>
  <si>
    <t>в т.ч. Взрослая поликлиника</t>
  </si>
  <si>
    <t>ЦАОП</t>
  </si>
  <si>
    <t>ОФД</t>
  </si>
  <si>
    <t>ЦЗ</t>
  </si>
  <si>
    <t>ОЛД</t>
  </si>
  <si>
    <t>КДЛ</t>
  </si>
  <si>
    <t>Отдел информации</t>
  </si>
  <si>
    <t>АХЧ</t>
  </si>
  <si>
    <t>ОМО</t>
  </si>
  <si>
    <t>Детская поликлиника</t>
  </si>
  <si>
    <t>физиоотделение</t>
  </si>
  <si>
    <t>статистика</t>
  </si>
  <si>
    <t>ОКМП</t>
  </si>
  <si>
    <t>Общебольничный немед</t>
  </si>
  <si>
    <t>тех.отдел</t>
  </si>
  <si>
    <t>ПЭО</t>
  </si>
  <si>
    <t>ОК</t>
  </si>
  <si>
    <t>Отдел по гос.закупкам</t>
  </si>
  <si>
    <t>прачка</t>
  </si>
  <si>
    <t>Центр.бухг</t>
  </si>
  <si>
    <t>Отделение переливание крови (л)</t>
  </si>
  <si>
    <t>Противотуберкулезный диспансер</t>
  </si>
  <si>
    <t>Противотуберкулезный диспансер (стационар)</t>
  </si>
  <si>
    <t>28</t>
  </si>
  <si>
    <t>Противотуберкулезный диспансер (поликлиника)</t>
  </si>
  <si>
    <t>29</t>
  </si>
  <si>
    <t>Инфекционное отделение</t>
  </si>
  <si>
    <t>Наркологический диспансер (стационар)</t>
  </si>
  <si>
    <t>Наркологический диспансер (поликлиника)</t>
  </si>
  <si>
    <t>Склад ул. Павлова 1а</t>
  </si>
  <si>
    <t>Подстанция поликлиники</t>
  </si>
  <si>
    <t>Трансформаторная подстанция</t>
  </si>
  <si>
    <t>Гараж на 2 автомашины</t>
  </si>
  <si>
    <t>Насосная ПТД</t>
  </si>
  <si>
    <t>Гараж на 5 автомашин (ПТД)</t>
  </si>
  <si>
    <t>Центр здоровья ( Тихонова -14)</t>
  </si>
  <si>
    <t>п.Чернышевск</t>
  </si>
  <si>
    <t>гараж</t>
  </si>
  <si>
    <t>п. Арылах</t>
  </si>
  <si>
    <t>ВА Арылах</t>
  </si>
  <si>
    <t>амбулатория</t>
  </si>
  <si>
    <t>ФП Заря</t>
  </si>
  <si>
    <t>С.Таас-Юрях</t>
  </si>
  <si>
    <t>ВА Таас-Юрях</t>
  </si>
  <si>
    <t>с. Сюльдюкар</t>
  </si>
  <si>
    <t>ВА Сюльдюкар</t>
  </si>
  <si>
    <t>Главный корпус ( стационар)</t>
  </si>
  <si>
    <t>1(4) (4)</t>
  </si>
  <si>
    <t>ПАО " Якутскэнерго" КВГЭС</t>
  </si>
  <si>
    <t>ООО" ПТВС"</t>
  </si>
  <si>
    <t>1(2) (2)</t>
  </si>
  <si>
    <t xml:space="preserve"> 2,3</t>
  </si>
  <si>
    <t xml:space="preserve"> 1,2</t>
  </si>
  <si>
    <t>Скорая помощь</t>
  </si>
  <si>
    <t>1(2)</t>
  </si>
  <si>
    <t>1(1)</t>
  </si>
  <si>
    <t xml:space="preserve"> 1</t>
  </si>
  <si>
    <t>Стоматологическая поликлиника</t>
  </si>
  <si>
    <t>1(1) (1)</t>
  </si>
  <si>
    <t>Паталогоанотомический корпус (новый)</t>
  </si>
  <si>
    <t>Отделение переливание крови</t>
  </si>
  <si>
    <t xml:space="preserve"> 1,2,3</t>
  </si>
  <si>
    <t>ПАО"Якутскэнерго"</t>
  </si>
  <si>
    <t>Наркологический диспансер</t>
  </si>
  <si>
    <t xml:space="preserve"> 0</t>
  </si>
  <si>
    <t>Чернышевская ГБ</t>
  </si>
  <si>
    <t>Поликлиника, стационар</t>
  </si>
  <si>
    <t>ОАО "Теплоэнергосервиз"</t>
  </si>
  <si>
    <t>Хоз.блок с галереей</t>
  </si>
  <si>
    <t>Хозяйственный блок</t>
  </si>
  <si>
    <t>1(1)  (1)</t>
  </si>
  <si>
    <t>п. Светлый</t>
  </si>
  <si>
    <t>Светлинская ГБ</t>
  </si>
  <si>
    <t>1(1) (3)</t>
  </si>
  <si>
    <t>п.Алмазный</t>
  </si>
  <si>
    <t>ВА Алмазный</t>
  </si>
  <si>
    <t>стационар</t>
  </si>
  <si>
    <t xml:space="preserve"> Итого:</t>
  </si>
  <si>
    <t xml:space="preserve">ЧОУ "Православная Гимназия" </t>
  </si>
  <si>
    <t>здание</t>
  </si>
  <si>
    <t>ЧОУ "Православная Гимназия"</t>
  </si>
  <si>
    <t>частное</t>
  </si>
  <si>
    <t>Расходы на коммунальные услуги за 2019 год</t>
  </si>
  <si>
    <t>ЧОУ Православная Гимназия"</t>
  </si>
  <si>
    <t>Северовосточная котельная</t>
  </si>
  <si>
    <t>ООО "ПТВС", 1985г.</t>
  </si>
  <si>
    <t>Природный газ, ОАО "Алроса газ"</t>
  </si>
  <si>
    <t>КВГМ 116,3-150 - 4 шт. ДЕ 25/14 - 1 шт.            ДЕ 10/14 - 1 шт.</t>
  </si>
  <si>
    <t>Циркуляционный насос 5шт., Подпиточный насос 5шт.</t>
  </si>
  <si>
    <t>Котельная Промзона</t>
  </si>
  <si>
    <t>ООО "ПТВС", 1984г.</t>
  </si>
  <si>
    <t>КВГМ 20/150 - 3шт.</t>
  </si>
  <si>
    <t>Циркуляционный насос 2шт., Подпиточный насос 3шт.</t>
  </si>
  <si>
    <t xml:space="preserve">Блок биологической очистки </t>
  </si>
  <si>
    <t xml:space="preserve"> ООО ПТВС, 1987 г.</t>
  </si>
  <si>
    <t>19 тыс.м3/ сутки</t>
  </si>
  <si>
    <t>13,6 тыс.м3/сутки</t>
  </si>
  <si>
    <t>Водоочистные сооружения (ВОС)</t>
  </si>
  <si>
    <t xml:space="preserve"> ООО ПТВС , 1 очередь - 1966 г., 2 очередь - 2013 г.</t>
  </si>
  <si>
    <t>Насосная станция 1 подъема - 118 тыс.м3/сутки</t>
  </si>
  <si>
    <t>3 тыс.м3/сутки</t>
  </si>
  <si>
    <t>Насосная станция 2 подъема - 118 тыс.м3/сутки</t>
  </si>
  <si>
    <t>9,8 тыс.м3/сутки</t>
  </si>
  <si>
    <t>Насосная станция 3 подъема - 38,4 тыс.м3/сутки</t>
  </si>
  <si>
    <t>6,7 тыс.м3/сутки</t>
  </si>
  <si>
    <t>ЭБ«Экспидиционная»</t>
  </si>
  <si>
    <t>МУП «Комунальщик»</t>
  </si>
  <si>
    <t xml:space="preserve">Электро
энергия
</t>
  </si>
  <si>
    <t xml:space="preserve">2 шт/ 
ЭКВ 100
</t>
  </si>
  <si>
    <t>1 шт. циркуляционных, 1 шт. подпиточных</t>
  </si>
  <si>
    <t>БМЦТП «Аэропорт»</t>
  </si>
  <si>
    <t>ДЭС -400</t>
  </si>
  <si>
    <t>ТП  «Газовиков»</t>
  </si>
  <si>
    <t>0,4 кВ</t>
  </si>
  <si>
    <t>передвижная</t>
  </si>
  <si>
    <t>------</t>
  </si>
  <si>
    <t>70.747</t>
  </si>
  <si>
    <t>дизтопливо</t>
  </si>
  <si>
    <t xml:space="preserve">ТП «Газовиков»
</t>
  </si>
  <si>
    <t>Поселение: Мирный</t>
  </si>
  <si>
    <t>Поселение:  Мирный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</si>
</sst>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-* #,##0.00\ _₽_-;\-* #,##0.00\ _₽_-;_-* &quot;-&quot;??\ _₽_-;_-@_-"/>
    <numFmt numFmtId="165" formatCode="_(* #,##0.00_);_(* \(#,##0.00\);_(* &quot;-&quot;??_);_(@_)"/>
    <numFmt numFmtId="166" formatCode="#,##0.00\ _₽"/>
    <numFmt numFmtId="167" formatCode="#,##0.0"/>
    <numFmt numFmtId="168" formatCode="#,##0.000"/>
  </numFmts>
  <fonts count="67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4"/>
      <color indexed="18"/>
      <name val="Tahoma"/>
      <family val="2"/>
      <charset val="204"/>
    </font>
    <font>
      <u/>
      <sz val="9"/>
      <color indexed="18"/>
      <name val="Tahoma"/>
      <family val="2"/>
      <charset val="204"/>
    </font>
    <font>
      <b/>
      <sz val="10"/>
      <color indexed="18"/>
      <name val="Tahoma"/>
      <family val="2"/>
      <charset val="204"/>
    </font>
    <font>
      <sz val="9"/>
      <color indexed="18"/>
      <name val="Tahoma"/>
      <family val="2"/>
      <charset val="204"/>
    </font>
    <font>
      <sz val="8"/>
      <color indexed="8"/>
      <name val="Tahoma"/>
      <family val="2"/>
      <charset val="204"/>
    </font>
    <font>
      <sz val="8"/>
      <color indexed="8"/>
      <name val="Arial"/>
      <family val="2"/>
      <charset val="204"/>
    </font>
    <font>
      <b/>
      <sz val="9"/>
      <color indexed="18"/>
      <name val="Tahoma"/>
      <family val="2"/>
      <charset val="204"/>
    </font>
    <font>
      <u/>
      <sz val="9"/>
      <color indexed="22"/>
      <name val="Tahoma"/>
      <family val="2"/>
      <charset val="204"/>
    </font>
    <font>
      <sz val="14"/>
      <color indexed="18"/>
      <name val="Tahoma"/>
      <family val="2"/>
      <charset val="204"/>
    </font>
    <font>
      <b/>
      <sz val="10"/>
      <color indexed="18"/>
      <name val="Tahoma"/>
      <family val="2"/>
      <charset val="204"/>
    </font>
    <font>
      <sz val="9"/>
      <color indexed="18"/>
      <name val="Tahoma"/>
      <family val="2"/>
      <charset val="204"/>
    </font>
    <font>
      <b/>
      <sz val="9"/>
      <color indexed="18"/>
      <name val="Tahoma"/>
      <family val="2"/>
      <charset val="204"/>
    </font>
    <font>
      <sz val="12"/>
      <name val="Times New Roman"/>
      <family val="1"/>
      <charset val="204"/>
    </font>
    <font>
      <sz val="10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i/>
      <sz val="11"/>
      <color rgb="FF000000"/>
      <name val="Times New Roman"/>
      <family val="1"/>
      <charset val="204"/>
    </font>
    <font>
      <i/>
      <sz val="11"/>
      <color rgb="FF000000"/>
      <name val="Times New Roman"/>
      <family val="1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4"/>
      <color rgb="FF0070C0"/>
      <name val="Tahoma"/>
      <family val="2"/>
      <charset val="204"/>
    </font>
    <font>
      <sz val="10"/>
      <color rgb="FF000000"/>
      <name val="Times New Roman"/>
      <family val="1"/>
      <charset val="204"/>
    </font>
    <font>
      <sz val="14"/>
      <color rgb="FFC00000"/>
      <name val="Tahoma"/>
      <family val="2"/>
      <charset val="204"/>
    </font>
    <font>
      <sz val="10"/>
      <color indexed="8"/>
      <name val="Arial"/>
      <family val="2"/>
      <charset val="204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u/>
      <sz val="9"/>
      <name val="Tahoma"/>
      <family val="2"/>
      <charset val="204"/>
    </font>
    <font>
      <sz val="14"/>
      <name val="Tahoma"/>
      <family val="2"/>
      <charset val="204"/>
    </font>
    <font>
      <sz val="8"/>
      <name val="Arial"/>
      <family val="2"/>
      <charset val="204"/>
    </font>
    <font>
      <b/>
      <sz val="10"/>
      <name val="Tahoma"/>
      <family val="2"/>
      <charset val="204"/>
    </font>
    <font>
      <b/>
      <sz val="9"/>
      <name val="Tahoma"/>
      <family val="2"/>
      <charset val="204"/>
    </font>
    <font>
      <sz val="9"/>
      <name val="Tahoma"/>
      <family val="2"/>
      <charset val="204"/>
    </font>
    <font>
      <sz val="8"/>
      <name val="Tahoma"/>
      <family val="2"/>
      <charset val="204"/>
    </font>
    <font>
      <sz val="11"/>
      <name val="Calibri"/>
      <family val="2"/>
      <charset val="204"/>
      <scheme val="minor"/>
    </font>
    <font>
      <b/>
      <sz val="8"/>
      <name val="Tahoma"/>
      <family val="2"/>
      <charset val="204"/>
    </font>
    <font>
      <b/>
      <sz val="1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i/>
      <sz val="9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color rgb="FF000000"/>
      <name val="Arial CYR"/>
    </font>
    <font>
      <sz val="12"/>
      <color indexed="8"/>
      <name val="Times New Roman"/>
      <family val="2"/>
      <charset val="204"/>
    </font>
    <font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indexed="1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rgb="FF0000CC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ahoma"/>
      <family val="2"/>
      <charset val="204"/>
    </font>
    <font>
      <i/>
      <sz val="10"/>
      <name val="Times New Roman"/>
      <family val="1"/>
      <charset val="204"/>
    </font>
    <font>
      <sz val="1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charset val="204"/>
      <scheme val="minor"/>
    </font>
    <font>
      <sz val="8"/>
      <name val="Times New Roman"/>
      <family val="1"/>
      <charset val="204"/>
    </font>
    <font>
      <sz val="9"/>
      <color indexed="1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trike/>
      <sz val="9"/>
      <name val="Tahoma"/>
      <family val="2"/>
      <charset val="204"/>
    </font>
  </fonts>
  <fills count="18">
    <fill>
      <patternFill patternType="none"/>
    </fill>
    <fill>
      <patternFill patternType="gray125"/>
    </fill>
    <fill>
      <patternFill patternType="solid">
        <fgColor indexed="9"/>
        <bgColor indexed="8"/>
      </patternFill>
    </fill>
    <fill>
      <patternFill patternType="solid">
        <fgColor indexed="42"/>
        <bgColor indexed="64"/>
      </patternFill>
    </fill>
    <fill>
      <patternFill patternType="solid">
        <fgColor indexed="42"/>
        <bgColor indexed="8"/>
      </patternFill>
    </fill>
    <fill>
      <patternFill patternType="solid">
        <fgColor indexed="22"/>
        <bgColor indexed="8"/>
      </patternFill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rgb="FFCCFFFF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39997558519241921"/>
        <bgColor indexed="8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indexed="8"/>
      </patternFill>
    </fill>
  </fills>
  <borders count="43">
    <border>
      <left/>
      <right/>
      <top/>
      <bottom/>
      <diagonal/>
    </border>
    <border>
      <left/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/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/>
      <top/>
      <bottom/>
      <diagonal/>
    </border>
  </borders>
  <cellStyleXfs count="58">
    <xf numFmtId="0" fontId="0" fillId="0" borderId="0"/>
    <xf numFmtId="0" fontId="1" fillId="0" borderId="0">
      <protection locked="0"/>
    </xf>
    <xf numFmtId="0" fontId="15" fillId="0" borderId="0"/>
    <xf numFmtId="0" fontId="16" fillId="0" borderId="0"/>
    <xf numFmtId="0" fontId="16" fillId="0" borderId="0">
      <alignment horizontal="center"/>
    </xf>
    <xf numFmtId="0" fontId="17" fillId="0" borderId="0">
      <alignment horizontal="left"/>
    </xf>
    <xf numFmtId="49" fontId="17" fillId="0" borderId="0"/>
    <xf numFmtId="49" fontId="17" fillId="0" borderId="10">
      <alignment horizontal="center" vertical="center" wrapText="1"/>
    </xf>
    <xf numFmtId="49" fontId="17" fillId="0" borderId="10">
      <alignment horizontal="center" vertical="center" wrapText="1"/>
    </xf>
    <xf numFmtId="0" fontId="17" fillId="0" borderId="10">
      <alignment horizontal="center" vertical="center" wrapText="1"/>
    </xf>
    <xf numFmtId="49" fontId="17" fillId="0" borderId="10">
      <alignment horizontal="center" vertical="center" wrapText="1"/>
    </xf>
    <xf numFmtId="49" fontId="17" fillId="0" borderId="11">
      <alignment horizontal="center" vertical="center" wrapText="1"/>
    </xf>
    <xf numFmtId="0" fontId="17" fillId="0" borderId="12">
      <alignment horizontal="left" wrapText="1"/>
    </xf>
    <xf numFmtId="49" fontId="17" fillId="0" borderId="13">
      <alignment horizontal="center" wrapText="1"/>
    </xf>
    <xf numFmtId="49" fontId="17" fillId="0" borderId="14">
      <alignment horizontal="center"/>
    </xf>
    <xf numFmtId="4" fontId="17" fillId="0" borderId="10">
      <alignment horizontal="right"/>
    </xf>
    <xf numFmtId="0" fontId="17" fillId="0" borderId="15">
      <alignment horizontal="left" wrapText="1" indent="1"/>
    </xf>
    <xf numFmtId="49" fontId="17" fillId="0" borderId="16">
      <alignment horizontal="center" wrapText="1"/>
    </xf>
    <xf numFmtId="49" fontId="17" fillId="0" borderId="17">
      <alignment horizontal="center"/>
    </xf>
    <xf numFmtId="0" fontId="17" fillId="0" borderId="18">
      <alignment horizontal="left" wrapText="1" indent="2"/>
    </xf>
    <xf numFmtId="49" fontId="17" fillId="0" borderId="19">
      <alignment horizontal="center"/>
    </xf>
    <xf numFmtId="49" fontId="17" fillId="0" borderId="20">
      <alignment horizontal="center"/>
    </xf>
    <xf numFmtId="4" fontId="17" fillId="0" borderId="20">
      <alignment horizontal="right"/>
    </xf>
    <xf numFmtId="0" fontId="18" fillId="0" borderId="0">
      <alignment wrapText="1"/>
    </xf>
    <xf numFmtId="0" fontId="20" fillId="0" borderId="10">
      <alignment horizontal="center" vertical="center" wrapText="1"/>
    </xf>
    <xf numFmtId="0" fontId="18" fillId="0" borderId="10">
      <alignment horizontal="center"/>
    </xf>
    <xf numFmtId="0" fontId="19" fillId="0" borderId="21">
      <alignment horizontal="center" vertical="center"/>
    </xf>
    <xf numFmtId="1" fontId="22" fillId="0" borderId="10">
      <alignment horizontal="center" vertical="center"/>
    </xf>
    <xf numFmtId="49" fontId="18" fillId="0" borderId="22">
      <alignment horizontal="center" vertical="center"/>
    </xf>
    <xf numFmtId="165" fontId="18" fillId="0" borderId="17">
      <alignment horizontal="center" vertical="center"/>
    </xf>
    <xf numFmtId="1" fontId="22" fillId="0" borderId="17">
      <alignment horizontal="center" vertical="center"/>
    </xf>
    <xf numFmtId="165" fontId="18" fillId="0" borderId="22">
      <alignment horizontal="center" vertical="center"/>
    </xf>
    <xf numFmtId="165" fontId="18" fillId="0" borderId="23">
      <alignment horizontal="center" vertical="center"/>
    </xf>
    <xf numFmtId="165" fontId="18" fillId="0" borderId="20">
      <alignment horizontal="center" vertical="center"/>
    </xf>
    <xf numFmtId="1" fontId="22" fillId="0" borderId="20">
      <alignment horizontal="center" vertical="center"/>
    </xf>
    <xf numFmtId="0" fontId="23" fillId="0" borderId="0"/>
    <xf numFmtId="49" fontId="19" fillId="0" borderId="10">
      <alignment horizontal="center" vertical="center"/>
    </xf>
    <xf numFmtId="165" fontId="19" fillId="0" borderId="10">
      <alignment horizontal="center" vertical="center"/>
    </xf>
    <xf numFmtId="0" fontId="21" fillId="0" borderId="10">
      <alignment horizontal="center" vertical="center"/>
    </xf>
    <xf numFmtId="0" fontId="22" fillId="0" borderId="10">
      <alignment horizontal="center" vertical="center"/>
    </xf>
    <xf numFmtId="0" fontId="1" fillId="0" borderId="0">
      <protection locked="0"/>
    </xf>
    <xf numFmtId="164" fontId="18" fillId="0" borderId="17">
      <alignment horizontal="center" vertical="center"/>
    </xf>
    <xf numFmtId="164" fontId="18" fillId="0" borderId="22">
      <alignment horizontal="center" vertical="center"/>
    </xf>
    <xf numFmtId="164" fontId="18" fillId="0" borderId="23">
      <alignment horizontal="center" vertical="center"/>
    </xf>
    <xf numFmtId="164" fontId="18" fillId="0" borderId="20">
      <alignment horizontal="center" vertical="center"/>
    </xf>
    <xf numFmtId="164" fontId="19" fillId="0" borderId="10">
      <alignment horizontal="center" vertical="center"/>
    </xf>
    <xf numFmtId="0" fontId="28" fillId="0" borderId="0"/>
    <xf numFmtId="43" fontId="43" fillId="0" borderId="0" applyFont="0" applyFill="0" applyBorder="0" applyAlignment="0" applyProtection="0"/>
    <xf numFmtId="165" fontId="1" fillId="0" borderId="0" applyFont="0" applyFill="0" applyBorder="0" applyAlignment="0" applyProtection="0"/>
    <xf numFmtId="4" fontId="48" fillId="12" borderId="10">
      <alignment horizontal="right" vertical="top" shrinkToFit="1"/>
    </xf>
    <xf numFmtId="43" fontId="18" fillId="0" borderId="17">
      <alignment horizontal="center" vertical="center"/>
    </xf>
    <xf numFmtId="43" fontId="18" fillId="0" borderId="22">
      <alignment horizontal="center" vertical="center"/>
    </xf>
    <xf numFmtId="43" fontId="18" fillId="0" borderId="23">
      <alignment horizontal="center" vertical="center"/>
    </xf>
    <xf numFmtId="43" fontId="18" fillId="0" borderId="20">
      <alignment horizontal="center" vertical="center"/>
    </xf>
    <xf numFmtId="43" fontId="19" fillId="0" borderId="10">
      <alignment horizontal="center" vertical="center"/>
    </xf>
    <xf numFmtId="0" fontId="49" fillId="0" borderId="0"/>
    <xf numFmtId="0" fontId="61" fillId="0" borderId="0"/>
    <xf numFmtId="0" fontId="1" fillId="0" borderId="0"/>
  </cellStyleXfs>
  <cellXfs count="360">
    <xf numFmtId="0" fontId="0" fillId="0" borderId="0" xfId="0"/>
    <xf numFmtId="0" fontId="2" fillId="0" borderId="0" xfId="1" applyNumberFormat="1" applyFont="1" applyFill="1" applyBorder="1" applyAlignment="1" applyProtection="1">
      <alignment vertical="top" wrapText="1"/>
    </xf>
    <xf numFmtId="49" fontId="3" fillId="0" borderId="0" xfId="1" applyNumberFormat="1" applyFont="1" applyFill="1" applyBorder="1" applyAlignment="1" applyProtection="1">
      <alignment horizontal="center" vertical="center"/>
    </xf>
    <xf numFmtId="0" fontId="4" fillId="0" borderId="0" xfId="1" applyNumberFormat="1" applyFont="1" applyFill="1" applyBorder="1" applyAlignment="1" applyProtection="1">
      <alignment vertical="top" wrapText="1"/>
    </xf>
    <xf numFmtId="0" fontId="4" fillId="0" borderId="1" xfId="1" applyNumberFormat="1" applyFont="1" applyFill="1" applyBorder="1" applyAlignment="1" applyProtection="1">
      <alignment horizontal="center" vertical="center" wrapText="1"/>
    </xf>
    <xf numFmtId="0" fontId="5" fillId="2" borderId="2" xfId="0" applyNumberFormat="1" applyFont="1" applyFill="1" applyBorder="1" applyAlignment="1" applyProtection="1">
      <alignment horizontal="left" vertical="center" wrapText="1" indent="1"/>
    </xf>
    <xf numFmtId="0" fontId="5" fillId="2" borderId="2" xfId="0" applyNumberFormat="1" applyFont="1" applyFill="1" applyBorder="1" applyAlignment="1" applyProtection="1">
      <alignment horizontal="left" vertical="center" wrapText="1" indent="2"/>
    </xf>
    <xf numFmtId="0" fontId="5" fillId="2" borderId="2" xfId="0" applyNumberFormat="1" applyFont="1" applyFill="1" applyBorder="1" applyAlignment="1" applyProtection="1">
      <alignment horizontal="left" vertical="center" wrapText="1" indent="4"/>
    </xf>
    <xf numFmtId="0" fontId="2" fillId="0" borderId="0" xfId="1" applyNumberFormat="1" applyFont="1" applyFill="1" applyBorder="1" applyAlignment="1" applyProtection="1">
      <alignment vertical="top" wrapText="1"/>
    </xf>
    <xf numFmtId="0" fontId="2" fillId="0" borderId="0" xfId="1" applyNumberFormat="1" applyFont="1" applyFill="1" applyBorder="1" applyAlignment="1" applyProtection="1">
      <alignment vertical="top" wrapText="1"/>
      <protection locked="0"/>
    </xf>
    <xf numFmtId="0" fontId="4" fillId="0" borderId="0" xfId="1" applyNumberFormat="1" applyFont="1" applyFill="1" applyBorder="1" applyAlignment="1" applyProtection="1">
      <alignment vertical="top" wrapText="1"/>
    </xf>
    <xf numFmtId="0" fontId="7" fillId="0" borderId="1" xfId="1" applyNumberFormat="1" applyFont="1" applyFill="1" applyBorder="1" applyAlignment="1" applyProtection="1">
      <alignment vertical="top"/>
    </xf>
    <xf numFmtId="0" fontId="8" fillId="2" borderId="2" xfId="0" applyNumberFormat="1" applyFont="1" applyFill="1" applyBorder="1" applyAlignment="1" applyProtection="1">
      <alignment horizontal="left" vertical="center" wrapText="1" indent="1"/>
    </xf>
    <xf numFmtId="0" fontId="8" fillId="2" borderId="2" xfId="0" applyNumberFormat="1" applyFont="1" applyFill="1" applyBorder="1" applyAlignment="1" applyProtection="1">
      <alignment horizontal="left" vertical="center" wrapText="1" indent="2"/>
    </xf>
    <xf numFmtId="49" fontId="3" fillId="0" borderId="0" xfId="1" applyNumberFormat="1" applyFont="1" applyFill="1" applyBorder="1" applyAlignment="1" applyProtection="1">
      <alignment horizontal="left" vertical="center"/>
    </xf>
    <xf numFmtId="0" fontId="7" fillId="0" borderId="0" xfId="1" applyNumberFormat="1" applyFont="1" applyFill="1" applyBorder="1" applyAlignment="1" applyProtection="1">
      <alignment vertical="top"/>
      <protection locked="0"/>
    </xf>
    <xf numFmtId="49" fontId="3" fillId="0" borderId="0" xfId="1" applyNumberFormat="1" applyFont="1" applyFill="1" applyBorder="1" applyAlignment="1" applyProtection="1">
      <alignment horizontal="left" vertical="center"/>
      <protection locked="0"/>
    </xf>
    <xf numFmtId="0" fontId="7" fillId="0" borderId="0" xfId="1" applyNumberFormat="1" applyFont="1" applyFill="1" applyBorder="1" applyAlignment="1" applyProtection="1">
      <alignment vertical="top"/>
    </xf>
    <xf numFmtId="49" fontId="9" fillId="0" borderId="0" xfId="1" applyNumberFormat="1" applyFont="1" applyFill="1" applyBorder="1" applyAlignment="1" applyProtection="1">
      <alignment horizontal="left" vertical="center"/>
    </xf>
    <xf numFmtId="0" fontId="4" fillId="0" borderId="1" xfId="1" applyNumberFormat="1" applyFont="1" applyFill="1" applyBorder="1" applyAlignment="1" applyProtection="1">
      <alignment vertical="top" wrapText="1"/>
    </xf>
    <xf numFmtId="0" fontId="7" fillId="0" borderId="1" xfId="1" applyNumberFormat="1" applyFont="1" applyFill="1" applyBorder="1" applyAlignment="1" applyProtection="1">
      <alignment vertical="top"/>
      <protection locked="0"/>
    </xf>
    <xf numFmtId="4" fontId="6" fillId="3" borderId="2" xfId="1" applyNumberFormat="1" applyFont="1" applyFill="1" applyBorder="1" applyAlignment="1" applyProtection="1">
      <alignment horizontal="right" vertical="top"/>
      <protection locked="0"/>
    </xf>
    <xf numFmtId="0" fontId="4" fillId="0" borderId="0" xfId="1" applyNumberFormat="1" applyFont="1" applyFill="1" applyBorder="1" applyAlignment="1" applyProtection="1">
      <alignment vertical="top" wrapText="1"/>
      <protection locked="0"/>
    </xf>
    <xf numFmtId="0" fontId="4" fillId="0" borderId="1" xfId="1" applyNumberFormat="1" applyFont="1" applyFill="1" applyBorder="1" applyAlignment="1" applyProtection="1">
      <alignment vertical="top" wrapText="1"/>
      <protection locked="0"/>
    </xf>
    <xf numFmtId="0" fontId="5" fillId="5" borderId="2" xfId="1" applyNumberFormat="1" applyFont="1" applyFill="1" applyBorder="1" applyAlignment="1" applyProtection="1">
      <alignment horizontal="left" vertical="center" wrapText="1"/>
    </xf>
    <xf numFmtId="0" fontId="4" fillId="0" borderId="1" xfId="1" applyNumberFormat="1" applyFont="1" applyFill="1" applyBorder="1" applyAlignment="1" applyProtection="1">
      <alignment horizontal="center" vertical="top" wrapText="1"/>
    </xf>
    <xf numFmtId="0" fontId="0" fillId="0" borderId="0" xfId="0" applyProtection="1">
      <protection locked="0"/>
    </xf>
    <xf numFmtId="0" fontId="17" fillId="0" borderId="0" xfId="5" applyNumberFormat="1" applyAlignment="1" applyProtection="1">
      <alignment horizontal="center"/>
    </xf>
    <xf numFmtId="0" fontId="19" fillId="0" borderId="21" xfId="26" applyNumberFormat="1" applyProtection="1">
      <alignment horizontal="center" vertical="center"/>
    </xf>
    <xf numFmtId="49" fontId="18" fillId="0" borderId="22" xfId="28" applyProtection="1">
      <alignment horizontal="center" vertical="center"/>
    </xf>
    <xf numFmtId="49" fontId="14" fillId="6" borderId="8" xfId="35" applyNumberFormat="1" applyFont="1" applyFill="1" applyBorder="1" applyAlignment="1">
      <alignment horizontal="center" vertical="center"/>
    </xf>
    <xf numFmtId="49" fontId="19" fillId="0" borderId="10" xfId="36" applyProtection="1">
      <alignment horizontal="center" vertical="center"/>
    </xf>
    <xf numFmtId="0" fontId="17" fillId="0" borderId="10" xfId="9" applyAlignment="1" applyProtection="1">
      <alignment horizontal="center" vertical="center"/>
    </xf>
    <xf numFmtId="0" fontId="18" fillId="0" borderId="22" xfId="25" applyNumberFormat="1" applyBorder="1" applyProtection="1">
      <alignment horizontal="center"/>
    </xf>
    <xf numFmtId="0" fontId="2" fillId="0" borderId="0" xfId="1" applyNumberFormat="1" applyFont="1" applyFill="1" applyBorder="1" applyAlignment="1" applyProtection="1">
      <alignment vertical="top" wrapText="1"/>
    </xf>
    <xf numFmtId="0" fontId="8" fillId="8" borderId="2" xfId="0" applyNumberFormat="1" applyFont="1" applyFill="1" applyBorder="1" applyAlignment="1" applyProtection="1">
      <alignment horizontal="left" vertical="center" wrapText="1" indent="2"/>
    </xf>
    <xf numFmtId="0" fontId="5" fillId="8" borderId="2" xfId="0" applyNumberFormat="1" applyFont="1" applyFill="1" applyBorder="1" applyAlignment="1" applyProtection="1">
      <alignment horizontal="left" vertical="center" wrapText="1" indent="4"/>
    </xf>
    <xf numFmtId="0" fontId="12" fillId="8" borderId="2" xfId="0" applyNumberFormat="1" applyFont="1" applyFill="1" applyBorder="1" applyAlignment="1" applyProtection="1">
      <alignment horizontal="left" vertical="center" wrapText="1" indent="2"/>
    </xf>
    <xf numFmtId="0" fontId="5" fillId="8" borderId="2" xfId="0" applyNumberFormat="1" applyFont="1" applyFill="1" applyBorder="1" applyAlignment="1" applyProtection="1">
      <alignment horizontal="left" vertical="center" wrapText="1" indent="6"/>
    </xf>
    <xf numFmtId="0" fontId="12" fillId="8" borderId="2" xfId="0" applyNumberFormat="1" applyFont="1" applyFill="1" applyBorder="1" applyAlignment="1" applyProtection="1">
      <alignment horizontal="left" vertical="center" wrapText="1" indent="6"/>
    </xf>
    <xf numFmtId="0" fontId="5" fillId="8" borderId="2" xfId="0" applyNumberFormat="1" applyFont="1" applyFill="1" applyBorder="1" applyAlignment="1" applyProtection="1">
      <alignment horizontal="left" vertical="center" wrapText="1" indent="7"/>
    </xf>
    <xf numFmtId="0" fontId="5" fillId="8" borderId="2" xfId="0" applyNumberFormat="1" applyFont="1" applyFill="1" applyBorder="1" applyAlignment="1" applyProtection="1">
      <alignment horizontal="left" vertical="center" wrapText="1" indent="9"/>
    </xf>
    <xf numFmtId="0" fontId="12" fillId="8" borderId="2" xfId="0" applyNumberFormat="1" applyFont="1" applyFill="1" applyBorder="1" applyAlignment="1" applyProtection="1">
      <alignment horizontal="left" vertical="center" wrapText="1" indent="9"/>
    </xf>
    <xf numFmtId="0" fontId="13" fillId="8" borderId="2" xfId="0" applyNumberFormat="1" applyFont="1" applyFill="1" applyBorder="1" applyAlignment="1" applyProtection="1">
      <alignment horizontal="left" vertical="center" wrapText="1" indent="2"/>
    </xf>
    <xf numFmtId="0" fontId="12" fillId="8" borderId="2" xfId="0" applyNumberFormat="1" applyFont="1" applyFill="1" applyBorder="1" applyAlignment="1" applyProtection="1">
      <alignment horizontal="left" vertical="center" wrapText="1" indent="4"/>
    </xf>
    <xf numFmtId="0" fontId="12" fillId="8" borderId="6" xfId="0" applyNumberFormat="1" applyFont="1" applyFill="1" applyBorder="1" applyAlignment="1" applyProtection="1">
      <alignment horizontal="left" vertical="center" wrapText="1" indent="4"/>
    </xf>
    <xf numFmtId="0" fontId="5" fillId="2" borderId="8" xfId="0" applyNumberFormat="1" applyFont="1" applyFill="1" applyBorder="1" applyAlignment="1" applyProtection="1">
      <alignment horizontal="left" vertical="center" wrapText="1" indent="1"/>
    </xf>
    <xf numFmtId="4" fontId="6" fillId="3" borderId="8" xfId="1" applyNumberFormat="1" applyFont="1" applyFill="1" applyBorder="1" applyAlignment="1" applyProtection="1">
      <alignment horizontal="right" vertical="top"/>
      <protection locked="0"/>
    </xf>
    <xf numFmtId="0" fontId="5" fillId="2" borderId="8" xfId="0" applyNumberFormat="1" applyFont="1" applyFill="1" applyBorder="1" applyAlignment="1" applyProtection="1">
      <alignment horizontal="left" vertical="center" wrapText="1" indent="2"/>
    </xf>
    <xf numFmtId="0" fontId="4" fillId="0" borderId="0" xfId="1" applyNumberFormat="1" applyFont="1" applyFill="1" applyBorder="1" applyAlignment="1" applyProtection="1">
      <alignment vertical="top" wrapText="1"/>
    </xf>
    <xf numFmtId="0" fontId="4" fillId="0" borderId="1" xfId="1" applyNumberFormat="1" applyFont="1" applyFill="1" applyBorder="1" applyAlignment="1" applyProtection="1">
      <alignment vertical="top" wrapText="1"/>
    </xf>
    <xf numFmtId="0" fontId="2" fillId="0" borderId="0" xfId="1" applyNumberFormat="1" applyFont="1" applyFill="1" applyBorder="1" applyAlignment="1" applyProtection="1">
      <alignment vertical="top" wrapText="1"/>
      <protection locked="0"/>
    </xf>
    <xf numFmtId="3" fontId="6" fillId="3" borderId="2" xfId="40" applyNumberFormat="1" applyFont="1" applyFill="1" applyBorder="1" applyAlignment="1" applyProtection="1">
      <alignment horizontal="right" vertical="top"/>
      <protection locked="0"/>
    </xf>
    <xf numFmtId="0" fontId="18" fillId="0" borderId="8" xfId="25" applyNumberFormat="1" applyFont="1" applyBorder="1" applyProtection="1">
      <alignment horizontal="center"/>
    </xf>
    <xf numFmtId="0" fontId="15" fillId="0" borderId="8" xfId="2" applyNumberFormat="1" applyFont="1" applyBorder="1" applyAlignment="1" applyProtection="1">
      <alignment horizontal="center"/>
    </xf>
    <xf numFmtId="0" fontId="17" fillId="0" borderId="8" xfId="16" applyFont="1" applyBorder="1" applyAlignment="1" applyProtection="1">
      <alignment horizontal="center" vertical="center"/>
    </xf>
    <xf numFmtId="1" fontId="22" fillId="0" borderId="8" xfId="27" applyFont="1" applyBorder="1" applyProtection="1">
      <alignment horizontal="center" vertical="center"/>
    </xf>
    <xf numFmtId="0" fontId="15" fillId="0" borderId="33" xfId="2" applyNumberFormat="1" applyBorder="1" applyAlignment="1" applyProtection="1">
      <alignment horizontal="center"/>
    </xf>
    <xf numFmtId="0" fontId="19" fillId="0" borderId="33" xfId="26" applyNumberFormat="1" applyBorder="1" applyProtection="1">
      <alignment horizontal="center" vertical="center"/>
    </xf>
    <xf numFmtId="0" fontId="17" fillId="0" borderId="34" xfId="7" applyNumberFormat="1" applyBorder="1" applyAlignment="1" applyProtection="1">
      <alignment vertical="center" wrapText="1"/>
    </xf>
    <xf numFmtId="0" fontId="17" fillId="0" borderId="22" xfId="7" applyNumberFormat="1" applyBorder="1" applyAlignment="1" applyProtection="1">
      <alignment vertical="center" wrapText="1"/>
    </xf>
    <xf numFmtId="0" fontId="17" fillId="0" borderId="22" xfId="10" applyNumberFormat="1" applyBorder="1" applyAlignment="1" applyProtection="1">
      <alignment vertical="center" wrapText="1"/>
    </xf>
    <xf numFmtId="0" fontId="24" fillId="6" borderId="33" xfId="0" applyFont="1" applyFill="1" applyBorder="1" applyAlignment="1">
      <alignment horizontal="center" vertical="center" wrapText="1"/>
    </xf>
    <xf numFmtId="0" fontId="17" fillId="0" borderId="22" xfId="15" applyNumberFormat="1" applyBorder="1" applyAlignment="1" applyProtection="1">
      <alignment horizontal="center" vertical="center"/>
    </xf>
    <xf numFmtId="0" fontId="25" fillId="0" borderId="0" xfId="1" applyNumberFormat="1" applyFont="1" applyFill="1" applyBorder="1" applyAlignment="1" applyProtection="1">
      <alignment vertical="top" wrapText="1"/>
    </xf>
    <xf numFmtId="0" fontId="25" fillId="0" borderId="0" xfId="1" applyNumberFormat="1" applyFont="1" applyFill="1" applyBorder="1" applyAlignment="1" applyProtection="1">
      <alignment vertical="top"/>
    </xf>
    <xf numFmtId="0" fontId="0" fillId="0" borderId="0" xfId="0"/>
    <xf numFmtId="3" fontId="6" fillId="3" borderId="2" xfId="1" applyNumberFormat="1" applyFont="1" applyFill="1" applyBorder="1" applyAlignment="1" applyProtection="1">
      <alignment horizontal="right" vertical="top"/>
      <protection locked="0"/>
    </xf>
    <xf numFmtId="0" fontId="5" fillId="10" borderId="2" xfId="0" applyNumberFormat="1" applyFont="1" applyFill="1" applyBorder="1" applyAlignment="1" applyProtection="1">
      <alignment horizontal="left" vertical="center" wrapText="1" indent="1"/>
    </xf>
    <xf numFmtId="0" fontId="5" fillId="10" borderId="2" xfId="0" applyNumberFormat="1" applyFont="1" applyFill="1" applyBorder="1" applyAlignment="1" applyProtection="1">
      <alignment horizontal="left" vertical="center" wrapText="1" indent="3"/>
    </xf>
    <xf numFmtId="0" fontId="4" fillId="0" borderId="0" xfId="1" applyNumberFormat="1" applyFont="1" applyFill="1" applyBorder="1" applyAlignment="1" applyProtection="1">
      <alignment vertical="top" wrapText="1"/>
    </xf>
    <xf numFmtId="0" fontId="2" fillId="0" borderId="0" xfId="1" applyNumberFormat="1" applyFont="1" applyFill="1" applyBorder="1" applyAlignment="1" applyProtection="1">
      <alignment vertical="top" wrapText="1"/>
    </xf>
    <xf numFmtId="0" fontId="29" fillId="0" borderId="0" xfId="0" applyFont="1"/>
    <xf numFmtId="0" fontId="30" fillId="0" borderId="3" xfId="46" applyFont="1" applyFill="1" applyBorder="1" applyAlignment="1">
      <alignment vertical="top" wrapText="1"/>
    </xf>
    <xf numFmtId="0" fontId="30" fillId="0" borderId="2" xfId="46" applyFont="1" applyFill="1" applyBorder="1" applyAlignment="1">
      <alignment vertical="top" wrapText="1"/>
    </xf>
    <xf numFmtId="49" fontId="31" fillId="0" borderId="0" xfId="1" applyNumberFormat="1" applyFont="1" applyFill="1" applyBorder="1" applyAlignment="1" applyProtection="1">
      <alignment horizontal="left" vertical="center"/>
    </xf>
    <xf numFmtId="0" fontId="32" fillId="0" borderId="0" xfId="1" applyNumberFormat="1" applyFont="1" applyFill="1" applyBorder="1" applyAlignment="1" applyProtection="1">
      <alignment vertical="top"/>
    </xf>
    <xf numFmtId="0" fontId="32" fillId="0" borderId="0" xfId="1" applyNumberFormat="1" applyFont="1" applyFill="1" applyBorder="1" applyAlignment="1" applyProtection="1">
      <alignment vertical="top" wrapText="1"/>
    </xf>
    <xf numFmtId="0" fontId="32" fillId="0" borderId="0" xfId="1" applyNumberFormat="1" applyFont="1" applyFill="1" applyBorder="1" applyAlignment="1" applyProtection="1">
      <alignment vertical="top" wrapText="1"/>
      <protection locked="0"/>
    </xf>
    <xf numFmtId="0" fontId="33" fillId="0" borderId="0" xfId="1" applyNumberFormat="1" applyFont="1" applyFill="1" applyBorder="1" applyAlignment="1" applyProtection="1">
      <alignment vertical="top"/>
      <protection locked="0"/>
    </xf>
    <xf numFmtId="49" fontId="31" fillId="0" borderId="0" xfId="1" applyNumberFormat="1" applyFont="1" applyFill="1" applyBorder="1" applyAlignment="1" applyProtection="1">
      <alignment horizontal="left" vertical="center"/>
      <protection locked="0"/>
    </xf>
    <xf numFmtId="0" fontId="34" fillId="0" borderId="0" xfId="1" applyNumberFormat="1" applyFont="1" applyFill="1" applyBorder="1" applyAlignment="1" applyProtection="1">
      <alignment vertical="top"/>
    </xf>
    <xf numFmtId="0" fontId="34" fillId="0" borderId="0" xfId="1" applyNumberFormat="1" applyFont="1" applyFill="1" applyBorder="1" applyAlignment="1" applyProtection="1">
      <alignment vertical="top" wrapText="1"/>
    </xf>
    <xf numFmtId="0" fontId="33" fillId="0" borderId="0" xfId="1" applyNumberFormat="1" applyFont="1" applyFill="1" applyBorder="1" applyAlignment="1" applyProtection="1">
      <alignment vertical="top"/>
    </xf>
    <xf numFmtId="49" fontId="31" fillId="11" borderId="0" xfId="1" applyNumberFormat="1" applyFont="1" applyFill="1" applyBorder="1" applyAlignment="1" applyProtection="1">
      <alignment horizontal="left" vertical="center"/>
    </xf>
    <xf numFmtId="0" fontId="33" fillId="11" borderId="0" xfId="1" applyNumberFormat="1" applyFont="1" applyFill="1" applyBorder="1" applyAlignment="1" applyProtection="1">
      <alignment vertical="top"/>
      <protection locked="0"/>
    </xf>
    <xf numFmtId="0" fontId="32" fillId="11" borderId="0" xfId="1" applyNumberFormat="1" applyFont="1" applyFill="1" applyBorder="1" applyAlignment="1" applyProtection="1">
      <alignment vertical="top" wrapText="1"/>
    </xf>
    <xf numFmtId="0" fontId="38" fillId="11" borderId="0" xfId="0" applyFont="1" applyFill="1"/>
    <xf numFmtId="0" fontId="34" fillId="11" borderId="0" xfId="1" applyNumberFormat="1" applyFont="1" applyFill="1" applyBorder="1" applyAlignment="1" applyProtection="1">
      <alignment vertical="top" wrapText="1"/>
    </xf>
    <xf numFmtId="0" fontId="33" fillId="11" borderId="0" xfId="1" applyNumberFormat="1" applyFont="1" applyFill="1" applyBorder="1" applyAlignment="1" applyProtection="1">
      <alignment vertical="top"/>
    </xf>
    <xf numFmtId="0" fontId="32" fillId="11" borderId="0" xfId="1" applyNumberFormat="1" applyFont="1" applyFill="1" applyBorder="1" applyAlignment="1" applyProtection="1">
      <alignment horizontal="center" vertical="top" wrapText="1"/>
    </xf>
    <xf numFmtId="0" fontId="34" fillId="11" borderId="0" xfId="1" applyNumberFormat="1" applyFont="1" applyFill="1" applyBorder="1" applyAlignment="1" applyProtection="1">
      <alignment vertical="top" wrapText="1"/>
      <protection locked="0"/>
    </xf>
    <xf numFmtId="0" fontId="32" fillId="11" borderId="0" xfId="1" applyNumberFormat="1" applyFont="1" applyFill="1" applyBorder="1" applyAlignment="1" applyProtection="1">
      <alignment vertical="top" wrapText="1"/>
      <protection locked="0"/>
    </xf>
    <xf numFmtId="0" fontId="32" fillId="11" borderId="0" xfId="1" applyNumberFormat="1" applyFont="1" applyFill="1" applyBorder="1" applyAlignment="1" applyProtection="1">
      <alignment vertical="top"/>
      <protection locked="0"/>
    </xf>
    <xf numFmtId="3" fontId="0" fillId="0" borderId="0" xfId="0" applyNumberFormat="1"/>
    <xf numFmtId="4" fontId="6" fillId="3" borderId="2" xfId="1" applyNumberFormat="1" applyFont="1" applyFill="1" applyBorder="1" applyAlignment="1">
      <alignment horizontal="right" vertical="top"/>
      <protection locked="0"/>
    </xf>
    <xf numFmtId="3" fontId="6" fillId="3" borderId="2" xfId="1" applyNumberFormat="1" applyFont="1" applyFill="1" applyBorder="1" applyAlignment="1">
      <alignment horizontal="right" vertical="top"/>
      <protection locked="0"/>
    </xf>
    <xf numFmtId="4" fontId="41" fillId="0" borderId="8" xfId="1" applyNumberFormat="1" applyFont="1" applyBorder="1" applyAlignment="1">
      <alignment horizontal="center" vertical="center"/>
      <protection locked="0"/>
    </xf>
    <xf numFmtId="166" fontId="41" fillId="0" borderId="8" xfId="1" applyNumberFormat="1" applyFont="1" applyBorder="1" applyAlignment="1">
      <alignment horizontal="center" vertical="center"/>
      <protection locked="0"/>
    </xf>
    <xf numFmtId="3" fontId="41" fillId="0" borderId="8" xfId="1" applyNumberFormat="1" applyFont="1" applyBorder="1" applyAlignment="1">
      <alignment horizontal="center" vertical="center"/>
      <protection locked="0"/>
    </xf>
    <xf numFmtId="9" fontId="41" fillId="0" borderId="8" xfId="1" applyNumberFormat="1" applyFont="1" applyBorder="1" applyAlignment="1">
      <alignment horizontal="center" vertical="center"/>
      <protection locked="0"/>
    </xf>
    <xf numFmtId="4" fontId="41" fillId="11" borderId="8" xfId="1" applyNumberFormat="1" applyFont="1" applyFill="1" applyBorder="1" applyAlignment="1">
      <alignment horizontal="center" vertical="center"/>
      <protection locked="0"/>
    </xf>
    <xf numFmtId="166" fontId="41" fillId="11" borderId="8" xfId="1" applyNumberFormat="1" applyFont="1" applyFill="1" applyBorder="1" applyAlignment="1">
      <alignment horizontal="center" vertical="center"/>
      <protection locked="0"/>
    </xf>
    <xf numFmtId="0" fontId="42" fillId="0" borderId="8" xfId="0" applyFont="1" applyBorder="1" applyAlignment="1">
      <alignment horizontal="center" vertical="center"/>
    </xf>
    <xf numFmtId="166" fontId="42" fillId="11" borderId="8" xfId="0" applyNumberFormat="1" applyFont="1" applyFill="1" applyBorder="1" applyAlignment="1">
      <alignment horizontal="center" vertical="center"/>
    </xf>
    <xf numFmtId="166" fontId="42" fillId="0" borderId="8" xfId="0" applyNumberFormat="1" applyFont="1" applyBorder="1" applyAlignment="1">
      <alignment horizontal="center" vertical="center"/>
    </xf>
    <xf numFmtId="9" fontId="42" fillId="0" borderId="8" xfId="0" applyNumberFormat="1" applyFont="1" applyBorder="1" applyAlignment="1">
      <alignment horizontal="center" vertical="center"/>
    </xf>
    <xf numFmtId="43" fontId="44" fillId="0" borderId="8" xfId="47" applyFont="1" applyBorder="1" applyAlignment="1" applyProtection="1">
      <alignment horizontal="center" vertical="center"/>
    </xf>
    <xf numFmtId="43" fontId="45" fillId="0" borderId="0" xfId="47" applyFont="1"/>
    <xf numFmtId="43" fontId="47" fillId="11" borderId="8" xfId="47" applyFont="1" applyFill="1" applyBorder="1" applyAlignment="1">
      <alignment horizontal="right" vertical="center"/>
    </xf>
    <xf numFmtId="43" fontId="46" fillId="0" borderId="8" xfId="47" applyFont="1" applyBorder="1" applyAlignment="1" applyProtection="1">
      <alignment horizontal="center" vertical="center"/>
    </xf>
    <xf numFmtId="43" fontId="44" fillId="7" borderId="8" xfId="47" applyFont="1" applyFill="1" applyBorder="1" applyAlignment="1" applyProtection="1">
      <alignment horizontal="center" vertical="center"/>
    </xf>
    <xf numFmtId="0" fontId="41" fillId="0" borderId="8" xfId="1" applyFont="1" applyBorder="1" applyAlignment="1">
      <alignment horizontal="center" vertical="center" wrapText="1"/>
      <protection locked="0"/>
    </xf>
    <xf numFmtId="49" fontId="50" fillId="0" borderId="8" xfId="0" applyNumberFormat="1" applyFont="1" applyFill="1" applyBorder="1" applyAlignment="1" applyProtection="1">
      <alignment horizontal="center" vertical="center" wrapText="1"/>
      <protection locked="0"/>
    </xf>
    <xf numFmtId="49" fontId="50" fillId="0" borderId="8" xfId="1" applyNumberFormat="1" applyFont="1" applyFill="1" applyBorder="1" applyAlignment="1" applyProtection="1">
      <alignment horizontal="center" vertical="center" wrapText="1"/>
      <protection locked="0"/>
    </xf>
    <xf numFmtId="4" fontId="50" fillId="0" borderId="8" xfId="0" applyNumberFormat="1" applyFont="1" applyFill="1" applyBorder="1" applyAlignment="1" applyProtection="1">
      <alignment horizontal="center" vertical="center"/>
      <protection locked="0"/>
    </xf>
    <xf numFmtId="3" fontId="50" fillId="0" borderId="8" xfId="0" applyNumberFormat="1" applyFont="1" applyFill="1" applyBorder="1" applyAlignment="1" applyProtection="1">
      <alignment horizontal="center" vertical="center"/>
      <protection locked="0"/>
    </xf>
    <xf numFmtId="0" fontId="50" fillId="0" borderId="8" xfId="0" applyNumberFormat="1" applyFont="1" applyFill="1" applyBorder="1" applyAlignment="1" applyProtection="1">
      <alignment horizontal="center" vertical="center" wrapText="1"/>
      <protection locked="0"/>
    </xf>
    <xf numFmtId="4" fontId="50" fillId="0" borderId="8" xfId="1" applyNumberFormat="1" applyFont="1" applyFill="1" applyBorder="1" applyAlignment="1" applyProtection="1">
      <alignment horizontal="center" vertical="center"/>
      <protection locked="0"/>
    </xf>
    <xf numFmtId="3" fontId="50" fillId="0" borderId="8" xfId="1" applyNumberFormat="1" applyFont="1" applyFill="1" applyBorder="1" applyAlignment="1" applyProtection="1">
      <alignment horizontal="center" vertical="center"/>
      <protection locked="0"/>
    </xf>
    <xf numFmtId="0" fontId="50" fillId="0" borderId="8" xfId="1" applyNumberFormat="1" applyFont="1" applyFill="1" applyBorder="1" applyAlignment="1" applyProtection="1">
      <alignment horizontal="center" vertical="center" wrapText="1"/>
      <protection locked="0"/>
    </xf>
    <xf numFmtId="0" fontId="50" fillId="0" borderId="8" xfId="55" applyFont="1" applyFill="1" applyBorder="1" applyAlignment="1">
      <alignment horizontal="center" vertical="center" wrapText="1"/>
    </xf>
    <xf numFmtId="3" fontId="50" fillId="0" borderId="8" xfId="1" applyNumberFormat="1" applyFont="1" applyFill="1" applyBorder="1" applyAlignment="1" applyProtection="1">
      <alignment horizontal="center" vertical="center" wrapText="1"/>
      <protection locked="0"/>
    </xf>
    <xf numFmtId="0" fontId="50" fillId="0" borderId="8" xfId="1" applyNumberFormat="1" applyFont="1" applyFill="1" applyBorder="1" applyAlignment="1" applyProtection="1">
      <alignment horizontal="left" vertical="center" wrapText="1"/>
      <protection locked="0"/>
    </xf>
    <xf numFmtId="0" fontId="41" fillId="0" borderId="8" xfId="1" applyNumberFormat="1" applyFont="1" applyFill="1" applyBorder="1" applyAlignment="1" applyProtection="1">
      <alignment horizontal="center" vertical="center" wrapText="1"/>
      <protection locked="0"/>
    </xf>
    <xf numFmtId="49" fontId="41" fillId="0" borderId="8" xfId="1" applyNumberFormat="1" applyFont="1" applyBorder="1" applyAlignment="1">
      <alignment horizontal="center" vertical="center" wrapText="1"/>
      <protection locked="0"/>
    </xf>
    <xf numFmtId="0" fontId="42" fillId="0" borderId="8" xfId="0" applyFont="1" applyBorder="1" applyAlignment="1">
      <alignment horizontal="center" vertical="center" wrapText="1"/>
    </xf>
    <xf numFmtId="49" fontId="41" fillId="0" borderId="8" xfId="1" applyNumberFormat="1" applyFont="1" applyFill="1" applyBorder="1" applyAlignment="1" applyProtection="1">
      <alignment horizontal="center" vertical="center" wrapText="1"/>
      <protection locked="0"/>
    </xf>
    <xf numFmtId="4" fontId="41" fillId="0" borderId="8" xfId="1" applyNumberFormat="1" applyFont="1" applyFill="1" applyBorder="1" applyAlignment="1" applyProtection="1">
      <alignment horizontal="center" vertical="center"/>
      <protection locked="0"/>
    </xf>
    <xf numFmtId="3" fontId="41" fillId="0" borderId="8" xfId="1" applyNumberFormat="1" applyFont="1" applyFill="1" applyBorder="1" applyAlignment="1" applyProtection="1">
      <alignment horizontal="center" vertical="center"/>
      <protection locked="0"/>
    </xf>
    <xf numFmtId="3" fontId="41" fillId="0" borderId="8" xfId="1" applyNumberFormat="1" applyFont="1" applyFill="1" applyBorder="1" applyAlignment="1" applyProtection="1">
      <alignment horizontal="center" vertical="center" wrapText="1"/>
      <protection locked="0"/>
    </xf>
    <xf numFmtId="0" fontId="51" fillId="0" borderId="0" xfId="0" applyFont="1"/>
    <xf numFmtId="49" fontId="6" fillId="3" borderId="2" xfId="1" applyNumberFormat="1" applyFont="1" applyFill="1" applyBorder="1" applyAlignment="1">
      <alignment horizontal="right" vertical="top"/>
      <protection locked="0"/>
    </xf>
    <xf numFmtId="4" fontId="5" fillId="5" borderId="2" xfId="1" applyNumberFormat="1" applyFont="1" applyFill="1" applyBorder="1" applyAlignment="1" applyProtection="1">
      <alignment horizontal="left" vertical="center" wrapText="1"/>
    </xf>
    <xf numFmtId="3" fontId="6" fillId="3" borderId="2" xfId="40" applyNumberFormat="1" applyFont="1" applyFill="1" applyBorder="1" applyAlignment="1">
      <alignment horizontal="right" vertical="top"/>
      <protection locked="0"/>
    </xf>
    <xf numFmtId="3" fontId="6" fillId="3" borderId="2" xfId="1" applyNumberFormat="1" applyFont="1" applyFill="1" applyBorder="1" applyAlignment="1">
      <alignment horizontal="right" vertical="top" wrapText="1"/>
      <protection locked="0"/>
    </xf>
    <xf numFmtId="4" fontId="53" fillId="0" borderId="8" xfId="1" applyNumberFormat="1" applyFont="1" applyBorder="1" applyAlignment="1">
      <alignment horizontal="right" vertical="top"/>
      <protection locked="0"/>
    </xf>
    <xf numFmtId="4" fontId="54" fillId="0" borderId="8" xfId="1" applyNumberFormat="1" applyFont="1" applyBorder="1" applyAlignment="1">
      <alignment horizontal="right" vertical="top"/>
      <protection locked="0"/>
    </xf>
    <xf numFmtId="4" fontId="55" fillId="0" borderId="8" xfId="1" applyNumberFormat="1" applyFont="1" applyBorder="1" applyAlignment="1">
      <alignment horizontal="right" vertical="top"/>
      <protection locked="0"/>
    </xf>
    <xf numFmtId="0" fontId="56" fillId="0" borderId="8" xfId="0" applyFont="1" applyBorder="1"/>
    <xf numFmtId="0" fontId="55" fillId="0" borderId="8" xfId="0" applyFont="1" applyBorder="1"/>
    <xf numFmtId="4" fontId="37" fillId="0" borderId="8" xfId="1" applyNumberFormat="1" applyFont="1" applyBorder="1" applyAlignment="1">
      <alignment horizontal="right" vertical="center"/>
      <protection locked="0"/>
    </xf>
    <xf numFmtId="0" fontId="0" fillId="0" borderId="0" xfId="0" applyAlignment="1">
      <alignment wrapText="1"/>
    </xf>
    <xf numFmtId="49" fontId="57" fillId="0" borderId="8" xfId="1" applyNumberFormat="1" applyFont="1" applyBorder="1" applyAlignment="1">
      <alignment horizontal="left" vertical="center" wrapText="1"/>
      <protection locked="0"/>
    </xf>
    <xf numFmtId="4" fontId="57" fillId="0" borderId="8" xfId="1" applyNumberFormat="1" applyFont="1" applyBorder="1" applyAlignment="1">
      <alignment horizontal="right" vertical="top"/>
      <protection locked="0"/>
    </xf>
    <xf numFmtId="3" fontId="57" fillId="0" borderId="8" xfId="1" applyNumberFormat="1" applyFont="1" applyBorder="1" applyAlignment="1">
      <alignment horizontal="right" vertical="top"/>
      <protection locked="0"/>
    </xf>
    <xf numFmtId="3" fontId="58" fillId="0" borderId="8" xfId="1" applyNumberFormat="1" applyFont="1" applyFill="1" applyBorder="1" applyAlignment="1" applyProtection="1">
      <alignment horizontal="right" vertical="top"/>
      <protection locked="0"/>
    </xf>
    <xf numFmtId="4" fontId="58" fillId="0" borderId="8" xfId="1" applyNumberFormat="1" applyFont="1" applyFill="1" applyBorder="1" applyAlignment="1" applyProtection="1">
      <alignment horizontal="right" vertical="top"/>
      <protection locked="0"/>
    </xf>
    <xf numFmtId="4" fontId="34" fillId="0" borderId="8" xfId="1" applyNumberFormat="1" applyFont="1" applyBorder="1" applyAlignment="1">
      <alignment horizontal="right" vertical="center"/>
      <protection locked="0"/>
    </xf>
    <xf numFmtId="49" fontId="59" fillId="0" borderId="8" xfId="1" applyNumberFormat="1" applyFont="1" applyBorder="1" applyAlignment="1">
      <alignment horizontal="right" vertical="center" wrapText="1"/>
      <protection locked="0"/>
    </xf>
    <xf numFmtId="49" fontId="50" fillId="0" borderId="8" xfId="1" applyNumberFormat="1" applyFont="1" applyBorder="1" applyAlignment="1">
      <alignment horizontal="left" vertical="center" wrapText="1"/>
      <protection locked="0"/>
    </xf>
    <xf numFmtId="4" fontId="50" fillId="0" borderId="8" xfId="1" applyNumberFormat="1" applyFont="1" applyFill="1" applyBorder="1" applyAlignment="1">
      <alignment horizontal="right" vertical="top"/>
      <protection locked="0"/>
    </xf>
    <xf numFmtId="4" fontId="50" fillId="0" borderId="8" xfId="1" applyNumberFormat="1" applyFont="1" applyBorder="1" applyAlignment="1">
      <alignment horizontal="right" vertical="top"/>
      <protection locked="0"/>
    </xf>
    <xf numFmtId="3" fontId="50" fillId="0" borderId="8" xfId="1" applyNumberFormat="1" applyFont="1" applyBorder="1" applyAlignment="1">
      <alignment horizontal="right" vertical="top"/>
      <protection locked="0"/>
    </xf>
    <xf numFmtId="4" fontId="58" fillId="0" borderId="8" xfId="1" applyNumberFormat="1" applyFont="1" applyBorder="1" applyAlignment="1">
      <alignment horizontal="right" vertical="center"/>
      <protection locked="0"/>
    </xf>
    <xf numFmtId="0" fontId="60" fillId="0" borderId="8" xfId="0" applyFont="1" applyFill="1" applyBorder="1"/>
    <xf numFmtId="49" fontId="50" fillId="0" borderId="8" xfId="1" applyNumberFormat="1" applyFont="1" applyBorder="1" applyAlignment="1">
      <alignment horizontal="right" vertical="center" wrapText="1"/>
      <protection locked="0"/>
    </xf>
    <xf numFmtId="4" fontId="57" fillId="0" borderId="8" xfId="1" applyNumberFormat="1" applyFont="1" applyFill="1" applyBorder="1" applyAlignment="1">
      <alignment horizontal="right" vertical="top"/>
      <protection locked="0"/>
    </xf>
    <xf numFmtId="4" fontId="50" fillId="11" borderId="8" xfId="1" applyNumberFormat="1" applyFont="1" applyFill="1" applyBorder="1" applyAlignment="1">
      <alignment horizontal="right" vertical="top"/>
      <protection locked="0"/>
    </xf>
    <xf numFmtId="0" fontId="50" fillId="0" borderId="8" xfId="0" applyFont="1" applyBorder="1" applyAlignment="1">
      <alignment wrapText="1"/>
    </xf>
    <xf numFmtId="0" fontId="50" fillId="0" borderId="8" xfId="0" applyFont="1" applyBorder="1"/>
    <xf numFmtId="4" fontId="50" fillId="0" borderId="8" xfId="0" applyNumberFormat="1" applyFont="1" applyBorder="1"/>
    <xf numFmtId="3" fontId="50" fillId="0" borderId="8" xfId="0" applyNumberFormat="1" applyFont="1" applyBorder="1"/>
    <xf numFmtId="0" fontId="50" fillId="4" borderId="2" xfId="1" applyFont="1" applyFill="1" applyBorder="1" applyAlignment="1">
      <alignment horizontal="left" vertical="center" wrapText="1"/>
      <protection locked="0"/>
    </xf>
    <xf numFmtId="4" fontId="50" fillId="3" borderId="2" xfId="1" applyNumberFormat="1" applyFont="1" applyFill="1" applyBorder="1" applyAlignment="1">
      <alignment horizontal="center" vertical="top"/>
      <protection locked="0"/>
    </xf>
    <xf numFmtId="1" fontId="50" fillId="3" borderId="2" xfId="1" applyNumberFormat="1" applyFont="1" applyFill="1" applyBorder="1" applyAlignment="1">
      <alignment horizontal="center" vertical="top"/>
      <protection locked="0"/>
    </xf>
    <xf numFmtId="0" fontId="50" fillId="4" borderId="2" xfId="1" applyFont="1" applyFill="1" applyBorder="1" applyAlignment="1">
      <alignment horizontal="center" vertical="center" wrapText="1"/>
      <protection locked="0"/>
    </xf>
    <xf numFmtId="49" fontId="50" fillId="3" borderId="2" xfId="1" applyNumberFormat="1" applyFont="1" applyFill="1" applyBorder="1" applyAlignment="1">
      <alignment horizontal="center" vertical="top" wrapText="1"/>
      <protection locked="0"/>
    </xf>
    <xf numFmtId="0" fontId="4" fillId="0" borderId="0" xfId="1" applyNumberFormat="1" applyFont="1" applyFill="1" applyBorder="1" applyAlignment="1" applyProtection="1">
      <alignment vertical="top" wrapText="1"/>
    </xf>
    <xf numFmtId="49" fontId="50" fillId="0" borderId="8" xfId="1" applyNumberFormat="1" applyFont="1" applyFill="1" applyBorder="1" applyAlignment="1" applyProtection="1">
      <alignment horizontal="center" vertical="center" wrapText="1"/>
      <protection locked="0"/>
    </xf>
    <xf numFmtId="0" fontId="50" fillId="11" borderId="8" xfId="1" applyNumberFormat="1" applyFont="1" applyFill="1" applyBorder="1" applyAlignment="1" applyProtection="1">
      <alignment horizontal="center" vertical="center" wrapText="1"/>
      <protection locked="0"/>
    </xf>
    <xf numFmtId="3" fontId="50" fillId="11" borderId="8" xfId="1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49" fontId="41" fillId="11" borderId="8" xfId="1" applyNumberFormat="1" applyFont="1" applyFill="1" applyBorder="1" applyAlignment="1" applyProtection="1">
      <alignment horizontal="center" vertical="center" wrapText="1"/>
      <protection locked="0"/>
    </xf>
    <xf numFmtId="4" fontId="41" fillId="11" borderId="8" xfId="1" applyNumberFormat="1" applyFont="1" applyFill="1" applyBorder="1" applyAlignment="1" applyProtection="1">
      <alignment horizontal="center" vertical="center"/>
      <protection locked="0"/>
    </xf>
    <xf numFmtId="3" fontId="41" fillId="11" borderId="8" xfId="1" applyNumberFormat="1" applyFont="1" applyFill="1" applyBorder="1" applyAlignment="1" applyProtection="1">
      <alignment horizontal="center" vertical="center"/>
      <protection locked="0"/>
    </xf>
    <xf numFmtId="0" fontId="0" fillId="0" borderId="8" xfId="0" applyBorder="1"/>
    <xf numFmtId="0" fontId="36" fillId="8" borderId="8" xfId="1" applyNumberFormat="1" applyFont="1" applyFill="1" applyBorder="1" applyAlignment="1" applyProtection="1">
      <alignment horizontal="left" vertical="center" wrapText="1"/>
      <protection locked="0"/>
    </xf>
    <xf numFmtId="0" fontId="50" fillId="8" borderId="8" xfId="1" applyNumberFormat="1" applyFont="1" applyFill="1" applyBorder="1" applyAlignment="1" applyProtection="1">
      <alignment horizontal="left" vertical="center" wrapText="1"/>
      <protection locked="0"/>
    </xf>
    <xf numFmtId="49" fontId="50" fillId="11" borderId="8" xfId="1" applyNumberFormat="1" applyFont="1" applyFill="1" applyBorder="1" applyAlignment="1" applyProtection="1">
      <alignment horizontal="center" vertical="center" wrapText="1"/>
      <protection locked="0"/>
    </xf>
    <xf numFmtId="4" fontId="50" fillId="11" borderId="8" xfId="1" applyNumberFormat="1" applyFont="1" applyFill="1" applyBorder="1" applyAlignment="1" applyProtection="1">
      <alignment horizontal="center" vertical="center"/>
      <protection locked="0"/>
    </xf>
    <xf numFmtId="0" fontId="50" fillId="11" borderId="8" xfId="0" applyFont="1" applyFill="1" applyBorder="1" applyAlignment="1">
      <alignment horizontal="center" vertical="center"/>
    </xf>
    <xf numFmtId="49" fontId="50" fillId="0" borderId="8" xfId="0" applyNumberFormat="1" applyFont="1" applyFill="1" applyBorder="1" applyAlignment="1" applyProtection="1">
      <alignment horizontal="left" vertical="center" wrapText="1"/>
      <protection locked="0"/>
    </xf>
    <xf numFmtId="49" fontId="50" fillId="0" borderId="8" xfId="1" applyNumberFormat="1" applyFont="1" applyFill="1" applyBorder="1" applyAlignment="1" applyProtection="1">
      <alignment horizontal="left" vertical="center" wrapText="1"/>
      <protection locked="0"/>
    </xf>
    <xf numFmtId="49" fontId="41" fillId="11" borderId="8" xfId="1" applyNumberFormat="1" applyFont="1" applyFill="1" applyBorder="1" applyAlignment="1" applyProtection="1">
      <alignment horizontal="left" vertical="center" wrapText="1"/>
      <protection locked="0"/>
    </xf>
    <xf numFmtId="0" fontId="57" fillId="8" borderId="8" xfId="1" applyFont="1" applyFill="1" applyBorder="1" applyAlignment="1">
      <alignment horizontal="left" vertical="center" wrapText="1"/>
      <protection locked="0"/>
    </xf>
    <xf numFmtId="0" fontId="50" fillId="8" borderId="8" xfId="1" applyFont="1" applyFill="1" applyBorder="1" applyAlignment="1">
      <alignment horizontal="left" vertical="center" wrapText="1"/>
      <protection locked="0"/>
    </xf>
    <xf numFmtId="0" fontId="57" fillId="8" borderId="8" xfId="1" applyFont="1" applyFill="1" applyBorder="1" applyAlignment="1">
      <alignment horizontal="center" vertical="center" wrapText="1"/>
      <protection locked="0"/>
    </xf>
    <xf numFmtId="0" fontId="50" fillId="11" borderId="8" xfId="1" applyFont="1" applyFill="1" applyBorder="1" applyAlignment="1">
      <alignment horizontal="center" vertical="center" wrapText="1"/>
      <protection locked="0"/>
    </xf>
    <xf numFmtId="0" fontId="50" fillId="8" borderId="8" xfId="1" applyFont="1" applyFill="1" applyBorder="1" applyAlignment="1">
      <alignment horizontal="center" vertical="center" wrapText="1"/>
      <protection locked="0"/>
    </xf>
    <xf numFmtId="49" fontId="50" fillId="11" borderId="8" xfId="1" applyNumberFormat="1" applyFont="1" applyFill="1" applyBorder="1" applyAlignment="1">
      <alignment horizontal="center" vertical="center" wrapText="1"/>
      <protection locked="0"/>
    </xf>
    <xf numFmtId="4" fontId="50" fillId="11" borderId="8" xfId="1" applyNumberFormat="1" applyFont="1" applyFill="1" applyBorder="1" applyAlignment="1">
      <alignment horizontal="center" vertical="center"/>
      <protection locked="0"/>
    </xf>
    <xf numFmtId="3" fontId="50" fillId="11" borderId="8" xfId="1" applyNumberFormat="1" applyFont="1" applyFill="1" applyBorder="1" applyAlignment="1">
      <alignment horizontal="center" vertical="center"/>
      <protection locked="0"/>
    </xf>
    <xf numFmtId="9" fontId="50" fillId="11" borderId="8" xfId="1" applyNumberFormat="1" applyFont="1" applyFill="1" applyBorder="1" applyAlignment="1">
      <alignment horizontal="center" vertical="center"/>
      <protection locked="0"/>
    </xf>
    <xf numFmtId="49" fontId="50" fillId="11" borderId="8" xfId="1" applyNumberFormat="1" applyFont="1" applyFill="1" applyBorder="1" applyAlignment="1">
      <alignment horizontal="left" vertical="center" wrapText="1"/>
      <protection locked="0"/>
    </xf>
    <xf numFmtId="4" fontId="63" fillId="11" borderId="8" xfId="1" applyNumberFormat="1" applyFont="1" applyFill="1" applyBorder="1" applyAlignment="1">
      <alignment horizontal="center" vertical="center"/>
      <protection locked="0"/>
    </xf>
    <xf numFmtId="3" fontId="63" fillId="11" borderId="8" xfId="1" applyNumberFormat="1" applyFont="1" applyFill="1" applyBorder="1" applyAlignment="1">
      <alignment horizontal="center" vertical="center"/>
      <protection locked="0"/>
    </xf>
    <xf numFmtId="49" fontId="63" fillId="11" borderId="8" xfId="1" applyNumberFormat="1" applyFont="1" applyFill="1" applyBorder="1" applyAlignment="1">
      <alignment horizontal="center" vertical="center" wrapText="1"/>
      <protection locked="0"/>
    </xf>
    <xf numFmtId="49" fontId="50" fillId="11" borderId="8" xfId="1" applyNumberFormat="1" applyFont="1" applyFill="1" applyBorder="1" applyAlignment="1">
      <alignment horizontal="left" vertical="top" wrapText="1"/>
      <protection locked="0"/>
    </xf>
    <xf numFmtId="1" fontId="50" fillId="11" borderId="8" xfId="1" applyNumberFormat="1" applyFont="1" applyFill="1" applyBorder="1" applyAlignment="1">
      <alignment horizontal="center" vertical="center"/>
      <protection locked="0"/>
    </xf>
    <xf numFmtId="1" fontId="50" fillId="11" borderId="8" xfId="1" applyNumberFormat="1" applyFont="1" applyFill="1" applyBorder="1" applyAlignment="1">
      <alignment horizontal="center" vertical="center" wrapText="1"/>
      <protection locked="0"/>
    </xf>
    <xf numFmtId="0" fontId="50" fillId="11" borderId="8" xfId="1" applyFont="1" applyFill="1" applyBorder="1" applyAlignment="1">
      <alignment horizontal="center" vertical="center"/>
      <protection locked="0"/>
    </xf>
    <xf numFmtId="4" fontId="50" fillId="11" borderId="8" xfId="1" applyNumberFormat="1" applyFont="1" applyFill="1" applyBorder="1" applyAlignment="1">
      <alignment horizontal="center" vertical="center" wrapText="1"/>
      <protection locked="0"/>
    </xf>
    <xf numFmtId="4" fontId="6" fillId="3" borderId="8" xfId="1" applyNumberFormat="1" applyFont="1" applyFill="1" applyBorder="1" applyAlignment="1">
      <alignment horizontal="right" vertical="top"/>
      <protection locked="0"/>
    </xf>
    <xf numFmtId="167" fontId="50" fillId="0" borderId="8" xfId="1" applyNumberFormat="1" applyFont="1" applyFill="1" applyBorder="1" applyAlignment="1" applyProtection="1">
      <alignment horizontal="center" vertical="center"/>
      <protection locked="0"/>
    </xf>
    <xf numFmtId="49" fontId="57" fillId="11" borderId="8" xfId="1" applyNumberFormat="1" applyFont="1" applyFill="1" applyBorder="1" applyAlignment="1">
      <alignment horizontal="center" vertical="center" wrapText="1"/>
      <protection locked="0"/>
    </xf>
    <xf numFmtId="3" fontId="57" fillId="11" borderId="8" xfId="1" applyNumberFormat="1" applyFont="1" applyFill="1" applyBorder="1" applyAlignment="1">
      <alignment horizontal="center" vertical="center"/>
      <protection locked="0"/>
    </xf>
    <xf numFmtId="4" fontId="58" fillId="11" borderId="8" xfId="1" applyNumberFormat="1" applyFont="1" applyFill="1" applyBorder="1" applyAlignment="1" applyProtection="1">
      <alignment horizontal="center" vertical="center"/>
      <protection locked="0"/>
    </xf>
    <xf numFmtId="4" fontId="57" fillId="11" borderId="8" xfId="1" applyNumberFormat="1" applyFont="1" applyFill="1" applyBorder="1" applyAlignment="1">
      <alignment horizontal="center" vertical="center"/>
      <protection locked="0"/>
    </xf>
    <xf numFmtId="4" fontId="6" fillId="3" borderId="8" xfId="1" applyNumberFormat="1" applyFont="1" applyFill="1" applyBorder="1" applyAlignment="1">
      <alignment horizontal="right" vertical="top" wrapText="1"/>
      <protection locked="0"/>
    </xf>
    <xf numFmtId="4" fontId="6" fillId="3" borderId="8" xfId="1" applyNumberFormat="1" applyFont="1" applyFill="1" applyBorder="1" applyAlignment="1">
      <alignment horizontal="right" vertical="center" wrapText="1"/>
      <protection locked="0"/>
    </xf>
    <xf numFmtId="168" fontId="6" fillId="3" borderId="8" xfId="1" applyNumberFormat="1" applyFont="1" applyFill="1" applyBorder="1" applyAlignment="1">
      <alignment horizontal="right" vertical="top"/>
      <protection locked="0"/>
    </xf>
    <xf numFmtId="0" fontId="36" fillId="8" borderId="8" xfId="1" applyFont="1" applyFill="1" applyBorder="1" applyAlignment="1">
      <alignment horizontal="center" vertical="center" wrapText="1"/>
      <protection locked="0"/>
    </xf>
    <xf numFmtId="49" fontId="37" fillId="11" borderId="8" xfId="1" applyNumberFormat="1" applyFont="1" applyFill="1" applyBorder="1" applyAlignment="1">
      <alignment horizontal="center" vertical="center" wrapText="1"/>
      <protection locked="0"/>
    </xf>
    <xf numFmtId="3" fontId="37" fillId="11" borderId="8" xfId="1" applyNumberFormat="1" applyFont="1" applyFill="1" applyBorder="1" applyAlignment="1">
      <alignment horizontal="center" vertical="center"/>
      <protection locked="0"/>
    </xf>
    <xf numFmtId="4" fontId="37" fillId="11" borderId="8" xfId="1" applyNumberFormat="1" applyFont="1" applyFill="1" applyBorder="1" applyAlignment="1">
      <alignment horizontal="center" vertical="center"/>
      <protection locked="0"/>
    </xf>
    <xf numFmtId="0" fontId="52" fillId="0" borderId="8" xfId="1" applyFont="1" applyBorder="1" applyAlignment="1">
      <alignment horizontal="center" vertical="center" wrapText="1"/>
      <protection locked="0"/>
    </xf>
    <xf numFmtId="0" fontId="52" fillId="0" borderId="8" xfId="1" applyFont="1" applyFill="1" applyBorder="1" applyAlignment="1">
      <alignment horizontal="center" vertical="center" wrapText="1"/>
      <protection locked="0"/>
    </xf>
    <xf numFmtId="3" fontId="50" fillId="0" borderId="8" xfId="1" applyNumberFormat="1" applyFont="1" applyBorder="1" applyAlignment="1">
      <alignment horizontal="center" vertical="center"/>
      <protection locked="0"/>
    </xf>
    <xf numFmtId="49" fontId="41" fillId="0" borderId="8" xfId="1" applyNumberFormat="1" applyFont="1" applyFill="1" applyBorder="1" applyAlignment="1">
      <alignment horizontal="center" vertical="center" wrapText="1"/>
      <protection locked="0"/>
    </xf>
    <xf numFmtId="3" fontId="41" fillId="0" borderId="8" xfId="1" applyNumberFormat="1" applyFont="1" applyFill="1" applyBorder="1" applyAlignment="1">
      <alignment horizontal="center" vertical="center"/>
      <protection locked="0"/>
    </xf>
    <xf numFmtId="4" fontId="41" fillId="0" borderId="8" xfId="1" applyNumberFormat="1" applyFont="1" applyFill="1" applyBorder="1" applyAlignment="1">
      <alignment horizontal="center" vertical="center"/>
      <protection locked="0"/>
    </xf>
    <xf numFmtId="2" fontId="41" fillId="0" borderId="8" xfId="1" applyNumberFormat="1" applyFont="1" applyFill="1" applyBorder="1" applyAlignment="1">
      <alignment horizontal="center" vertical="center"/>
      <protection locked="0"/>
    </xf>
    <xf numFmtId="0" fontId="50" fillId="0" borderId="8" xfId="1" applyFont="1" applyBorder="1" applyAlignment="1">
      <alignment horizontal="left" vertical="center" wrapText="1"/>
      <protection locked="0"/>
    </xf>
    <xf numFmtId="49" fontId="50" fillId="0" borderId="8" xfId="1" applyNumberFormat="1" applyFont="1" applyBorder="1" applyAlignment="1">
      <alignment horizontal="center" vertical="center" wrapText="1"/>
      <protection locked="0"/>
    </xf>
    <xf numFmtId="0" fontId="50" fillId="0" borderId="8" xfId="0" applyFont="1" applyBorder="1" applyAlignment="1">
      <alignment horizontal="center" vertical="center" wrapText="1"/>
    </xf>
    <xf numFmtId="4" fontId="50" fillId="0" borderId="8" xfId="1" applyNumberFormat="1" applyFont="1" applyBorder="1" applyAlignment="1">
      <alignment horizontal="center" vertical="center"/>
      <protection locked="0"/>
    </xf>
    <xf numFmtId="0" fontId="47" fillId="8" borderId="8" xfId="1" applyFont="1" applyFill="1" applyBorder="1" applyAlignment="1">
      <alignment horizontal="center" vertical="center" wrapText="1"/>
      <protection locked="0"/>
    </xf>
    <xf numFmtId="3" fontId="37" fillId="11" borderId="8" xfId="1" applyNumberFormat="1" applyFont="1" applyFill="1" applyBorder="1" applyAlignment="1" applyProtection="1">
      <alignment horizontal="center" vertical="center"/>
      <protection locked="0"/>
    </xf>
    <xf numFmtId="0" fontId="4" fillId="0" borderId="0" xfId="1" applyNumberFormat="1" applyFont="1" applyFill="1" applyBorder="1" applyAlignment="1" applyProtection="1">
      <alignment vertical="top" wrapText="1"/>
    </xf>
    <xf numFmtId="49" fontId="41" fillId="11" borderId="8" xfId="1" applyNumberFormat="1" applyFont="1" applyFill="1" applyBorder="1" applyAlignment="1">
      <alignment horizontal="center" vertical="center" wrapText="1"/>
      <protection locked="0"/>
    </xf>
    <xf numFmtId="1" fontId="41" fillId="11" borderId="8" xfId="1" applyNumberFormat="1" applyFont="1" applyFill="1" applyBorder="1" applyAlignment="1">
      <alignment horizontal="center" vertical="center"/>
      <protection locked="0"/>
    </xf>
    <xf numFmtId="0" fontId="5" fillId="8" borderId="8" xfId="1" applyNumberFormat="1" applyFont="1" applyFill="1" applyBorder="1" applyAlignment="1" applyProtection="1">
      <alignment horizontal="left" vertical="center" wrapText="1"/>
      <protection locked="0"/>
    </xf>
    <xf numFmtId="0" fontId="52" fillId="8" borderId="8" xfId="1" applyFont="1" applyFill="1" applyBorder="1" applyAlignment="1">
      <alignment horizontal="center" vertical="center" wrapText="1"/>
      <protection locked="0"/>
    </xf>
    <xf numFmtId="0" fontId="64" fillId="8" borderId="8" xfId="1" applyNumberFormat="1" applyFont="1" applyFill="1" applyBorder="1" applyAlignment="1" applyProtection="1">
      <alignment horizontal="center" vertical="center" wrapText="1"/>
      <protection locked="0"/>
    </xf>
    <xf numFmtId="49" fontId="65" fillId="11" borderId="8" xfId="1" applyNumberFormat="1" applyFont="1" applyFill="1" applyBorder="1" applyAlignment="1" applyProtection="1">
      <alignment horizontal="center" vertical="center" wrapText="1"/>
      <protection locked="0"/>
    </xf>
    <xf numFmtId="4" fontId="65" fillId="11" borderId="8" xfId="1" applyNumberFormat="1" applyFont="1" applyFill="1" applyBorder="1" applyAlignment="1" applyProtection="1">
      <alignment horizontal="center" vertical="center"/>
      <protection locked="0"/>
    </xf>
    <xf numFmtId="1" fontId="65" fillId="11" borderId="8" xfId="1" applyNumberFormat="1" applyFont="1" applyFill="1" applyBorder="1" applyAlignment="1" applyProtection="1">
      <alignment horizontal="center" vertical="center"/>
      <protection locked="0"/>
    </xf>
    <xf numFmtId="0" fontId="29" fillId="11" borderId="8" xfId="0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50" fillId="8" borderId="8" xfId="57" applyFont="1" applyFill="1" applyBorder="1" applyAlignment="1" applyProtection="1">
      <alignment horizontal="left" vertical="center" wrapText="1"/>
      <protection locked="0"/>
    </xf>
    <xf numFmtId="0" fontId="50" fillId="11" borderId="8" xfId="0" applyFont="1" applyFill="1" applyBorder="1"/>
    <xf numFmtId="0" fontId="50" fillId="11" borderId="8" xfId="0" applyFont="1" applyFill="1" applyBorder="1" applyAlignment="1">
      <alignment horizontal="center" vertical="center" wrapText="1"/>
    </xf>
    <xf numFmtId="0" fontId="50" fillId="11" borderId="8" xfId="0" applyFont="1" applyFill="1" applyBorder="1" applyAlignment="1">
      <alignment vertical="center" wrapText="1"/>
    </xf>
    <xf numFmtId="49" fontId="50" fillId="11" borderId="8" xfId="40" applyNumberFormat="1" applyFont="1" applyFill="1" applyBorder="1" applyAlignment="1">
      <alignment horizontal="center" vertical="center" wrapText="1"/>
      <protection locked="0"/>
    </xf>
    <xf numFmtId="4" fontId="50" fillId="11" borderId="8" xfId="40" applyNumberFormat="1" applyFont="1" applyFill="1" applyBorder="1" applyAlignment="1">
      <alignment horizontal="center" vertical="center"/>
      <protection locked="0"/>
    </xf>
    <xf numFmtId="1" fontId="50" fillId="11" borderId="8" xfId="40" applyNumberFormat="1" applyFont="1" applyFill="1" applyBorder="1" applyAlignment="1">
      <alignment horizontal="center" vertical="center"/>
      <protection locked="0"/>
    </xf>
    <xf numFmtId="3" fontId="50" fillId="11" borderId="8" xfId="40" applyNumberFormat="1" applyFont="1" applyFill="1" applyBorder="1" applyAlignment="1">
      <alignment horizontal="center" vertical="center"/>
      <protection locked="0"/>
    </xf>
    <xf numFmtId="1" fontId="50" fillId="11" borderId="8" xfId="1" applyNumberFormat="1" applyFont="1" applyFill="1" applyBorder="1" applyAlignment="1" applyProtection="1">
      <alignment horizontal="center" vertical="center"/>
      <protection locked="0"/>
    </xf>
    <xf numFmtId="0" fontId="0" fillId="11" borderId="8" xfId="0" applyFill="1" applyBorder="1" applyAlignment="1">
      <alignment horizontal="center" vertical="center" wrapText="1"/>
    </xf>
    <xf numFmtId="49" fontId="6" fillId="11" borderId="8" xfId="1" applyNumberFormat="1" applyFont="1" applyFill="1" applyBorder="1" applyAlignment="1" applyProtection="1">
      <alignment horizontal="center" vertical="center" wrapText="1"/>
      <protection locked="0"/>
    </xf>
    <xf numFmtId="4" fontId="6" fillId="11" borderId="8" xfId="1" applyNumberFormat="1" applyFont="1" applyFill="1" applyBorder="1" applyAlignment="1" applyProtection="1">
      <alignment horizontal="center" vertical="center"/>
      <protection locked="0"/>
    </xf>
    <xf numFmtId="0" fontId="0" fillId="11" borderId="8" xfId="0" applyFill="1" applyBorder="1" applyAlignment="1">
      <alignment horizontal="left" vertical="center"/>
    </xf>
    <xf numFmtId="0" fontId="4" fillId="0" borderId="0" xfId="1" applyNumberFormat="1" applyFont="1" applyFill="1" applyBorder="1" applyAlignment="1" applyProtection="1">
      <alignment vertical="top" wrapText="1"/>
    </xf>
    <xf numFmtId="0" fontId="2" fillId="0" borderId="0" xfId="1" applyNumberFormat="1" applyFont="1" applyFill="1" applyBorder="1" applyAlignment="1" applyProtection="1">
      <alignment horizontal="center" vertical="top" wrapText="1"/>
    </xf>
    <xf numFmtId="49" fontId="50" fillId="0" borderId="8" xfId="1" applyNumberFormat="1" applyFont="1" applyFill="1" applyBorder="1" applyAlignment="1" applyProtection="1">
      <alignment horizontal="center" vertical="center" wrapText="1"/>
      <protection locked="0"/>
    </xf>
    <xf numFmtId="49" fontId="41" fillId="0" borderId="7" xfId="1" applyNumberFormat="1" applyFont="1" applyBorder="1" applyAlignment="1">
      <alignment horizontal="center" vertical="center" wrapText="1"/>
      <protection locked="0"/>
    </xf>
    <xf numFmtId="49" fontId="41" fillId="0" borderId="40" xfId="1" applyNumberFormat="1" applyFont="1" applyBorder="1" applyAlignment="1">
      <alignment horizontal="center" vertical="center" wrapText="1"/>
      <protection locked="0"/>
    </xf>
    <xf numFmtId="49" fontId="41" fillId="0" borderId="9" xfId="1" applyNumberFormat="1" applyFont="1" applyBorder="1" applyAlignment="1">
      <alignment horizontal="center" vertical="center" wrapText="1"/>
      <protection locked="0"/>
    </xf>
    <xf numFmtId="0" fontId="32" fillId="11" borderId="0" xfId="1" applyNumberFormat="1" applyFont="1" applyFill="1" applyBorder="1" applyAlignment="1" applyProtection="1">
      <alignment vertical="top" wrapText="1"/>
    </xf>
    <xf numFmtId="0" fontId="34" fillId="11" borderId="0" xfId="1" applyNumberFormat="1" applyFont="1" applyFill="1" applyBorder="1" applyAlignment="1" applyProtection="1">
      <alignment vertical="top" wrapText="1"/>
    </xf>
    <xf numFmtId="0" fontId="2" fillId="0" borderId="0" xfId="1" applyNumberFormat="1" applyFont="1" applyFill="1" applyBorder="1" applyAlignment="1" applyProtection="1">
      <alignment vertical="top" wrapText="1"/>
    </xf>
    <xf numFmtId="0" fontId="4" fillId="0" borderId="1" xfId="1" applyNumberFormat="1" applyFont="1" applyFill="1" applyBorder="1" applyAlignment="1" applyProtection="1">
      <alignment vertical="top" wrapText="1"/>
    </xf>
    <xf numFmtId="0" fontId="10" fillId="0" borderId="0" xfId="1" applyNumberFormat="1" applyFont="1" applyFill="1" applyBorder="1" applyAlignment="1" applyProtection="1">
      <alignment vertical="top" wrapText="1"/>
    </xf>
    <xf numFmtId="0" fontId="11" fillId="0" borderId="0" xfId="1" applyNumberFormat="1" applyFont="1" applyFill="1" applyBorder="1" applyAlignment="1" applyProtection="1">
      <alignment vertical="top" wrapText="1"/>
    </xf>
    <xf numFmtId="4" fontId="41" fillId="11" borderId="8" xfId="1" applyNumberFormat="1" applyFont="1" applyFill="1" applyBorder="1" applyAlignment="1">
      <alignment horizontal="center" vertical="center"/>
      <protection locked="0"/>
    </xf>
    <xf numFmtId="0" fontId="32" fillId="11" borderId="0" xfId="1" applyNumberFormat="1" applyFont="1" applyFill="1" applyBorder="1" applyAlignment="1" applyProtection="1">
      <alignment horizontal="center" vertical="top" wrapText="1"/>
    </xf>
    <xf numFmtId="0" fontId="27" fillId="9" borderId="0" xfId="1" applyNumberFormat="1" applyFont="1" applyFill="1" applyBorder="1" applyAlignment="1" applyProtection="1">
      <alignment horizontal="center" vertical="top" wrapText="1"/>
    </xf>
    <xf numFmtId="0" fontId="17" fillId="0" borderId="17" xfId="18" applyNumberFormat="1" applyAlignment="1" applyProtection="1">
      <alignment horizontal="center" wrapText="1"/>
    </xf>
    <xf numFmtId="49" fontId="17" fillId="0" borderId="17" xfId="18" applyAlignment="1" applyProtection="1">
      <alignment horizontal="center" wrapText="1"/>
      <protection locked="0"/>
    </xf>
    <xf numFmtId="0" fontId="5" fillId="0" borderId="2" xfId="0" applyNumberFormat="1" applyFont="1" applyFill="1" applyBorder="1" applyAlignment="1" applyProtection="1">
      <alignment horizontal="left" vertical="center" wrapText="1" indent="2"/>
    </xf>
    <xf numFmtId="0" fontId="5" fillId="0" borderId="2" xfId="0" applyNumberFormat="1" applyFont="1" applyFill="1" applyBorder="1" applyAlignment="1" applyProtection="1">
      <alignment horizontal="left" vertical="center" wrapText="1" indent="1"/>
    </xf>
    <xf numFmtId="0" fontId="5" fillId="0" borderId="2" xfId="0" applyNumberFormat="1" applyFont="1" applyFill="1" applyBorder="1" applyAlignment="1" applyProtection="1">
      <alignment horizontal="left" vertical="center" wrapText="1" indent="4"/>
    </xf>
    <xf numFmtId="0" fontId="4" fillId="0" borderId="0" xfId="1" applyNumberFormat="1" applyFont="1" applyFill="1" applyBorder="1" applyAlignment="1" applyProtection="1">
      <alignment horizontal="center" vertical="center" wrapText="1"/>
    </xf>
    <xf numFmtId="0" fontId="36" fillId="0" borderId="8" xfId="0" applyNumberFormat="1" applyFont="1" applyFill="1" applyBorder="1" applyAlignment="1" applyProtection="1">
      <alignment horizontal="left" vertical="center" wrapText="1" indent="1"/>
    </xf>
    <xf numFmtId="0" fontId="36" fillId="0" borderId="8" xfId="0" applyNumberFormat="1" applyFont="1" applyFill="1" applyBorder="1" applyAlignment="1" applyProtection="1">
      <alignment horizontal="left" vertical="center" wrapText="1" indent="2"/>
    </xf>
    <xf numFmtId="0" fontId="66" fillId="0" borderId="8" xfId="0" applyNumberFormat="1" applyFont="1" applyFill="1" applyBorder="1" applyAlignment="1" applyProtection="1">
      <alignment horizontal="left" vertical="center" wrapText="1" indent="2"/>
    </xf>
    <xf numFmtId="0" fontId="35" fillId="0" borderId="8" xfId="0" applyNumberFormat="1" applyFont="1" applyFill="1" applyBorder="1" applyAlignment="1" applyProtection="1">
      <alignment horizontal="left" vertical="center" wrapText="1" indent="1"/>
    </xf>
    <xf numFmtId="0" fontId="36" fillId="0" borderId="8" xfId="0" applyNumberFormat="1" applyFont="1" applyFill="1" applyBorder="1" applyAlignment="1" applyProtection="1">
      <alignment horizontal="left" vertical="center" wrapText="1" indent="4"/>
    </xf>
    <xf numFmtId="3" fontId="37" fillId="13" borderId="8" xfId="1" applyNumberFormat="1" applyFont="1" applyFill="1" applyBorder="1" applyAlignment="1" applyProtection="1">
      <alignment horizontal="right" vertical="center"/>
      <protection locked="0"/>
    </xf>
    <xf numFmtId="3" fontId="6" fillId="13" borderId="2" xfId="1" applyNumberFormat="1" applyFont="1" applyFill="1" applyBorder="1" applyAlignment="1" applyProtection="1">
      <alignment horizontal="right" vertical="center"/>
      <protection locked="0"/>
    </xf>
    <xf numFmtId="0" fontId="35" fillId="14" borderId="3" xfId="1" applyNumberFormat="1" applyFont="1" applyFill="1" applyBorder="1" applyAlignment="1" applyProtection="1">
      <alignment horizontal="center" vertical="center" wrapText="1"/>
    </xf>
    <xf numFmtId="0" fontId="35" fillId="14" borderId="2" xfId="1" applyNumberFormat="1" applyFont="1" applyFill="1" applyBorder="1" applyAlignment="1" applyProtection="1">
      <alignment horizontal="center" vertical="center" wrapText="1"/>
    </xf>
    <xf numFmtId="0" fontId="35" fillId="14" borderId="6" xfId="1" applyNumberFormat="1" applyFont="1" applyFill="1" applyBorder="1" applyAlignment="1" applyProtection="1">
      <alignment horizontal="center" vertical="center" wrapText="1"/>
    </xf>
    <xf numFmtId="0" fontId="35" fillId="14" borderId="26" xfId="1" applyNumberFormat="1" applyFont="1" applyFill="1" applyBorder="1" applyAlignment="1" applyProtection="1">
      <alignment horizontal="center" vertical="center" wrapText="1"/>
      <protection locked="0"/>
    </xf>
    <xf numFmtId="0" fontId="35" fillId="14" borderId="26" xfId="1" applyNumberFormat="1" applyFont="1" applyFill="1" applyBorder="1" applyAlignment="1" applyProtection="1">
      <alignment horizontal="center" vertical="center" wrapText="1"/>
    </xf>
    <xf numFmtId="0" fontId="35" fillId="14" borderId="5" xfId="1" applyNumberFormat="1" applyFont="1" applyFill="1" applyBorder="1" applyAlignment="1" applyProtection="1">
      <alignment horizontal="center" vertical="center" wrapText="1"/>
    </xf>
    <xf numFmtId="0" fontId="35" fillId="14" borderId="1" xfId="1" applyNumberFormat="1" applyFont="1" applyFill="1" applyBorder="1" applyAlignment="1" applyProtection="1">
      <alignment horizontal="center" vertical="center" wrapText="1"/>
    </xf>
    <xf numFmtId="0" fontId="35" fillId="14" borderId="4" xfId="1" applyNumberFormat="1" applyFont="1" applyFill="1" applyBorder="1" applyAlignment="1" applyProtection="1">
      <alignment horizontal="center" vertical="center" wrapText="1"/>
    </xf>
    <xf numFmtId="0" fontId="35" fillId="14" borderId="6" xfId="1" applyNumberFormat="1" applyFont="1" applyFill="1" applyBorder="1" applyAlignment="1" applyProtection="1">
      <alignment horizontal="center" vertical="center" wrapText="1"/>
    </xf>
    <xf numFmtId="0" fontId="35" fillId="14" borderId="8" xfId="1" applyNumberFormat="1" applyFont="1" applyFill="1" applyBorder="1" applyAlignment="1" applyProtection="1">
      <alignment horizontal="center" vertical="center" wrapText="1"/>
    </xf>
    <xf numFmtId="0" fontId="35" fillId="15" borderId="8" xfId="0" applyFont="1" applyFill="1" applyBorder="1" applyAlignment="1">
      <alignment horizontal="center" vertical="center" wrapText="1"/>
    </xf>
    <xf numFmtId="0" fontId="35" fillId="14" borderId="8" xfId="1" applyNumberFormat="1" applyFont="1" applyFill="1" applyBorder="1" applyAlignment="1" applyProtection="1">
      <alignment horizontal="center" vertical="center" wrapText="1"/>
    </xf>
    <xf numFmtId="0" fontId="35" fillId="15" borderId="8" xfId="0" applyFont="1" applyFill="1" applyBorder="1" applyAlignment="1">
      <alignment horizontal="center" vertical="center" wrapText="1"/>
    </xf>
    <xf numFmtId="0" fontId="39" fillId="15" borderId="8" xfId="0" applyFont="1" applyFill="1" applyBorder="1" applyAlignment="1">
      <alignment horizontal="center" vertical="center" wrapText="1"/>
    </xf>
    <xf numFmtId="0" fontId="35" fillId="15" borderId="8" xfId="1" applyNumberFormat="1" applyFont="1" applyFill="1" applyBorder="1" applyAlignment="1" applyProtection="1">
      <alignment horizontal="center" vertical="center" wrapText="1"/>
    </xf>
    <xf numFmtId="0" fontId="35" fillId="14" borderId="2" xfId="1" applyNumberFormat="1" applyFont="1" applyFill="1" applyBorder="1" applyAlignment="1" applyProtection="1">
      <alignment horizontal="center" vertical="center" wrapText="1"/>
    </xf>
    <xf numFmtId="0" fontId="35" fillId="14" borderId="8" xfId="1" applyNumberFormat="1" applyFont="1" applyFill="1" applyBorder="1" applyAlignment="1" applyProtection="1">
      <alignment horizontal="center" vertical="center" wrapText="1"/>
      <protection locked="0"/>
    </xf>
    <xf numFmtId="0" fontId="35" fillId="14" borderId="8" xfId="1" applyNumberFormat="1" applyFont="1" applyFill="1" applyBorder="1" applyAlignment="1" applyProtection="1">
      <alignment horizontal="center" vertical="center" wrapText="1"/>
      <protection locked="0"/>
    </xf>
    <xf numFmtId="0" fontId="40" fillId="15" borderId="8" xfId="0" applyFont="1" applyFill="1" applyBorder="1" applyAlignment="1">
      <alignment horizontal="center" vertical="center"/>
    </xf>
    <xf numFmtId="0" fontId="36" fillId="15" borderId="8" xfId="0" applyFont="1" applyFill="1" applyBorder="1" applyAlignment="1">
      <alignment horizontal="center" vertical="center" wrapText="1"/>
    </xf>
    <xf numFmtId="0" fontId="36" fillId="15" borderId="8" xfId="0" applyFont="1" applyFill="1" applyBorder="1" applyAlignment="1">
      <alignment horizontal="center" vertical="center" wrapText="1"/>
    </xf>
    <xf numFmtId="0" fontId="35" fillId="14" borderId="26" xfId="1" applyNumberFormat="1" applyFont="1" applyFill="1" applyBorder="1" applyAlignment="1" applyProtection="1">
      <alignment horizontal="center" vertical="center" wrapText="1"/>
    </xf>
    <xf numFmtId="0" fontId="35" fillId="14" borderId="27" xfId="1" applyNumberFormat="1" applyFont="1" applyFill="1" applyBorder="1" applyAlignment="1" applyProtection="1">
      <alignment horizontal="center" vertical="center" wrapText="1"/>
    </xf>
    <xf numFmtId="0" fontId="35" fillId="14" borderId="28" xfId="1" applyNumberFormat="1" applyFont="1" applyFill="1" applyBorder="1" applyAlignment="1" applyProtection="1">
      <alignment horizontal="center" vertical="center" wrapText="1"/>
    </xf>
    <xf numFmtId="0" fontId="35" fillId="14" borderId="35" xfId="1" applyNumberFormat="1" applyFont="1" applyFill="1" applyBorder="1" applyAlignment="1" applyProtection="1">
      <alignment horizontal="center" vertical="center" wrapText="1"/>
    </xf>
    <xf numFmtId="0" fontId="35" fillId="14" borderId="36" xfId="1" applyNumberFormat="1" applyFont="1" applyFill="1" applyBorder="1" applyAlignment="1" applyProtection="1">
      <alignment horizontal="center" vertical="center" wrapText="1"/>
    </xf>
    <xf numFmtId="0" fontId="35" fillId="15" borderId="27" xfId="0" applyFont="1" applyFill="1" applyBorder="1" applyAlignment="1">
      <alignment horizontal="center" vertical="center"/>
    </xf>
    <xf numFmtId="0" fontId="35" fillId="15" borderId="30" xfId="0" applyFont="1" applyFill="1" applyBorder="1" applyAlignment="1">
      <alignment horizontal="center" vertical="center"/>
    </xf>
    <xf numFmtId="0" fontId="35" fillId="15" borderId="28" xfId="0" applyFont="1" applyFill="1" applyBorder="1" applyAlignment="1">
      <alignment horizontal="center" vertical="center"/>
    </xf>
    <xf numFmtId="0" fontId="35" fillId="14" borderId="37" xfId="1" applyNumberFormat="1" applyFont="1" applyFill="1" applyBorder="1" applyAlignment="1" applyProtection="1">
      <alignment horizontal="center" vertical="center" wrapText="1"/>
    </xf>
    <xf numFmtId="0" fontId="35" fillId="14" borderId="29" xfId="1" applyNumberFormat="1" applyFont="1" applyFill="1" applyBorder="1" applyAlignment="1" applyProtection="1">
      <alignment horizontal="center" vertical="center" wrapText="1"/>
    </xf>
    <xf numFmtId="0" fontId="35" fillId="15" borderId="26" xfId="0" applyFont="1" applyFill="1" applyBorder="1" applyAlignment="1">
      <alignment horizontal="center" vertical="center" wrapText="1"/>
    </xf>
    <xf numFmtId="0" fontId="35" fillId="15" borderId="26" xfId="0" applyFont="1" applyFill="1" applyBorder="1" applyAlignment="1">
      <alignment horizontal="center" vertical="center"/>
    </xf>
    <xf numFmtId="0" fontId="35" fillId="15" borderId="26" xfId="0" applyFont="1" applyFill="1" applyBorder="1" applyAlignment="1">
      <alignment horizontal="center" vertical="center" wrapText="1"/>
    </xf>
    <xf numFmtId="0" fontId="35" fillId="15" borderId="26" xfId="0" applyFont="1" applyFill="1" applyBorder="1" applyAlignment="1">
      <alignment horizontal="center" vertical="center"/>
    </xf>
    <xf numFmtId="0" fontId="39" fillId="15" borderId="26" xfId="0" applyFont="1" applyFill="1" applyBorder="1" applyAlignment="1">
      <alignment horizontal="center" vertical="center" wrapText="1"/>
    </xf>
    <xf numFmtId="0" fontId="35" fillId="15" borderId="6" xfId="0" applyFont="1" applyFill="1" applyBorder="1" applyAlignment="1">
      <alignment horizontal="center" vertical="center" wrapText="1"/>
    </xf>
    <xf numFmtId="0" fontId="35" fillId="15" borderId="6" xfId="0" applyFont="1" applyFill="1" applyBorder="1" applyAlignment="1">
      <alignment horizontal="center" vertical="center"/>
    </xf>
    <xf numFmtId="0" fontId="35" fillId="15" borderId="8" xfId="0" applyFont="1" applyFill="1" applyBorder="1" applyAlignment="1">
      <alignment horizontal="center" vertical="center"/>
    </xf>
    <xf numFmtId="3" fontId="37" fillId="15" borderId="8" xfId="1" applyNumberFormat="1" applyFont="1" applyFill="1" applyBorder="1" applyAlignment="1" applyProtection="1">
      <alignment horizontal="right" vertical="top"/>
      <protection locked="0"/>
    </xf>
    <xf numFmtId="4" fontId="37" fillId="15" borderId="8" xfId="1" applyNumberFormat="1" applyFont="1" applyFill="1" applyBorder="1" applyAlignment="1" applyProtection="1">
      <alignment horizontal="right" vertical="top"/>
      <protection locked="0"/>
    </xf>
    <xf numFmtId="0" fontId="36" fillId="16" borderId="8" xfId="0" applyFont="1" applyFill="1" applyBorder="1" applyAlignment="1">
      <alignment horizontal="left" vertical="center" indent="1"/>
    </xf>
    <xf numFmtId="0" fontId="36" fillId="16" borderId="8" xfId="0" applyFont="1" applyFill="1" applyBorder="1" applyAlignment="1">
      <alignment horizontal="left"/>
    </xf>
    <xf numFmtId="0" fontId="36" fillId="16" borderId="8" xfId="0" applyFont="1" applyFill="1" applyBorder="1" applyAlignment="1">
      <alignment horizontal="left" vertical="center" indent="2"/>
    </xf>
    <xf numFmtId="0" fontId="35" fillId="17" borderId="8" xfId="1" applyNumberFormat="1" applyFont="1" applyFill="1" applyBorder="1" applyAlignment="1" applyProtection="1">
      <alignment horizontal="center" vertical="center" wrapText="1"/>
    </xf>
    <xf numFmtId="0" fontId="35" fillId="17" borderId="8" xfId="1" applyNumberFormat="1" applyFont="1" applyFill="1" applyBorder="1" applyAlignment="1" applyProtection="1">
      <alignment horizontal="center" vertical="center" wrapText="1"/>
    </xf>
    <xf numFmtId="0" fontId="36" fillId="16" borderId="8" xfId="0" applyFont="1" applyFill="1" applyBorder="1" applyAlignment="1">
      <alignment horizontal="center" vertical="center" wrapText="1"/>
    </xf>
    <xf numFmtId="0" fontId="36" fillId="16" borderId="8" xfId="0" applyFont="1" applyFill="1" applyBorder="1" applyAlignment="1">
      <alignment horizontal="center" vertical="center" wrapText="1"/>
    </xf>
    <xf numFmtId="0" fontId="37" fillId="16" borderId="8" xfId="0" applyFont="1" applyFill="1" applyBorder="1" applyAlignment="1">
      <alignment horizontal="center" vertical="center" wrapText="1"/>
    </xf>
    <xf numFmtId="0" fontId="36" fillId="16" borderId="8" xfId="0" applyFont="1" applyFill="1" applyBorder="1" applyAlignment="1">
      <alignment horizontal="center" vertical="center"/>
    </xf>
    <xf numFmtId="0" fontId="35" fillId="14" borderId="30" xfId="1" applyNumberFormat="1" applyFont="1" applyFill="1" applyBorder="1" applyAlignment="1" applyProtection="1">
      <alignment horizontal="center" vertical="center" wrapText="1"/>
    </xf>
    <xf numFmtId="0" fontId="35" fillId="14" borderId="31" xfId="1" applyNumberFormat="1" applyFont="1" applyFill="1" applyBorder="1" applyAlignment="1" applyProtection="1">
      <alignment horizontal="center" vertical="center" wrapText="1"/>
    </xf>
    <xf numFmtId="0" fontId="35" fillId="14" borderId="38" xfId="1" applyNumberFormat="1" applyFont="1" applyFill="1" applyBorder="1" applyAlignment="1" applyProtection="1">
      <alignment horizontal="center" vertical="center" wrapText="1"/>
    </xf>
    <xf numFmtId="0" fontId="35" fillId="14" borderId="32" xfId="1" applyNumberFormat="1" applyFont="1" applyFill="1" applyBorder="1" applyAlignment="1" applyProtection="1">
      <alignment horizontal="center" vertical="center" wrapText="1"/>
    </xf>
    <xf numFmtId="0" fontId="35" fillId="14" borderId="39" xfId="1" applyNumberFormat="1" applyFont="1" applyFill="1" applyBorder="1" applyAlignment="1" applyProtection="1">
      <alignment horizontal="center" vertical="center" wrapText="1"/>
    </xf>
    <xf numFmtId="0" fontId="35" fillId="14" borderId="7" xfId="1" applyNumberFormat="1" applyFont="1" applyFill="1" applyBorder="1" applyAlignment="1" applyProtection="1">
      <alignment horizontal="center" vertical="center" wrapText="1"/>
    </xf>
    <xf numFmtId="0" fontId="35" fillId="14" borderId="9" xfId="1" applyNumberFormat="1" applyFont="1" applyFill="1" applyBorder="1" applyAlignment="1" applyProtection="1">
      <alignment horizontal="center" vertical="center" wrapText="1"/>
    </xf>
    <xf numFmtId="0" fontId="35" fillId="15" borderId="2" xfId="0" applyFont="1" applyFill="1" applyBorder="1" applyAlignment="1">
      <alignment horizontal="center" vertical="center" wrapText="1"/>
    </xf>
    <xf numFmtId="0" fontId="35" fillId="15" borderId="2" xfId="0" applyFont="1" applyFill="1" applyBorder="1" applyAlignment="1">
      <alignment horizontal="center" vertical="center"/>
    </xf>
    <xf numFmtId="0" fontId="39" fillId="15" borderId="2" xfId="0" applyFont="1" applyFill="1" applyBorder="1" applyAlignment="1">
      <alignment horizontal="center" vertical="center" wrapText="1"/>
    </xf>
    <xf numFmtId="0" fontId="35" fillId="15" borderId="3" xfId="0" applyFont="1" applyFill="1" applyBorder="1" applyAlignment="1">
      <alignment horizontal="center" vertical="center" wrapText="1"/>
    </xf>
    <xf numFmtId="0" fontId="35" fillId="15" borderId="3" xfId="0" applyFont="1" applyFill="1" applyBorder="1" applyAlignment="1">
      <alignment horizontal="center" vertical="center"/>
    </xf>
    <xf numFmtId="0" fontId="8" fillId="0" borderId="2" xfId="0" applyNumberFormat="1" applyFont="1" applyFill="1" applyBorder="1" applyAlignment="1" applyProtection="1">
      <alignment horizontal="left" vertical="center" wrapText="1" indent="1"/>
    </xf>
    <xf numFmtId="0" fontId="5" fillId="0" borderId="2" xfId="0" applyNumberFormat="1" applyFont="1" applyFill="1" applyBorder="1" applyAlignment="1" applyProtection="1">
      <alignment horizontal="left" vertical="center" wrapText="1" indent="6"/>
    </xf>
    <xf numFmtId="0" fontId="5" fillId="0" borderId="2" xfId="0" applyNumberFormat="1" applyFont="1" applyFill="1" applyBorder="1" applyAlignment="1" applyProtection="1">
      <alignment horizontal="left" vertical="center" wrapText="1" indent="7"/>
    </xf>
    <xf numFmtId="0" fontId="12" fillId="0" borderId="2" xfId="0" applyNumberFormat="1" applyFont="1" applyFill="1" applyBorder="1" applyAlignment="1" applyProtection="1">
      <alignment horizontal="left" vertical="center" wrapText="1" indent="4"/>
    </xf>
    <xf numFmtId="0" fontId="12" fillId="0" borderId="2" xfId="0" applyNumberFormat="1" applyFont="1" applyFill="1" applyBorder="1" applyAlignment="1" applyProtection="1">
      <alignment horizontal="left" vertical="center" wrapText="1" indent="2"/>
    </xf>
    <xf numFmtId="0" fontId="8" fillId="0" borderId="2" xfId="0" applyNumberFormat="1" applyFont="1" applyFill="1" applyBorder="1" applyAlignment="1" applyProtection="1">
      <alignment horizontal="left" vertical="center" wrapText="1" indent="2"/>
    </xf>
    <xf numFmtId="0" fontId="16" fillId="15" borderId="24" xfId="3" applyNumberFormat="1" applyFill="1" applyBorder="1" applyAlignment="1" applyProtection="1">
      <alignment horizontal="center" vertical="center" wrapText="1"/>
    </xf>
    <xf numFmtId="0" fontId="17" fillId="15" borderId="8" xfId="17" applyNumberFormat="1" applyFont="1" applyFill="1" applyBorder="1" applyAlignment="1" applyProtection="1">
      <alignment horizontal="center" vertical="center" wrapText="1"/>
    </xf>
    <xf numFmtId="0" fontId="16" fillId="15" borderId="25" xfId="3" applyNumberFormat="1" applyFill="1" applyBorder="1" applyAlignment="1" applyProtection="1">
      <alignment horizontal="center" vertical="center" wrapText="1"/>
    </xf>
    <xf numFmtId="0" fontId="16" fillId="15" borderId="32" xfId="3" applyNumberFormat="1" applyFill="1" applyBorder="1" applyAlignment="1" applyProtection="1">
      <alignment horizontal="center" vertical="center" wrapText="1"/>
    </xf>
    <xf numFmtId="0" fontId="17" fillId="15" borderId="8" xfId="3" applyNumberFormat="1" applyFont="1" applyFill="1" applyBorder="1" applyAlignment="1" applyProtection="1">
      <alignment horizontal="center" vertical="center" wrapText="1"/>
    </xf>
    <xf numFmtId="0" fontId="17" fillId="0" borderId="41" xfId="21" applyNumberFormat="1" applyBorder="1" applyAlignment="1" applyProtection="1">
      <alignment horizontal="center" vertical="center" wrapText="1"/>
    </xf>
    <xf numFmtId="49" fontId="17" fillId="0" borderId="41" xfId="21" applyBorder="1" applyAlignment="1" applyProtection="1">
      <alignment horizontal="center" vertical="center" wrapText="1"/>
      <protection locked="0"/>
    </xf>
    <xf numFmtId="0" fontId="16" fillId="15" borderId="42" xfId="3" applyNumberFormat="1" applyFill="1" applyBorder="1" applyAlignment="1" applyProtection="1">
      <alignment horizontal="center" vertical="center" wrapText="1"/>
    </xf>
    <xf numFmtId="0" fontId="26" fillId="15" borderId="9" xfId="24" applyFont="1" applyFill="1" applyBorder="1" applyProtection="1">
      <alignment horizontal="center" vertical="center" wrapText="1"/>
      <protection locked="0"/>
    </xf>
    <xf numFmtId="0" fontId="17" fillId="15" borderId="9" xfId="17" applyNumberFormat="1" applyFont="1" applyFill="1" applyBorder="1" applyAlignment="1" applyProtection="1">
      <alignment horizontal="center" vertical="center" wrapText="1"/>
    </xf>
    <xf numFmtId="0" fontId="18" fillId="15" borderId="8" xfId="23" applyNumberFormat="1" applyFill="1" applyBorder="1" applyAlignment="1" applyProtection="1">
      <alignment horizontal="center" wrapText="1"/>
    </xf>
  </cellXfs>
  <cellStyles count="58">
    <cellStyle name="Excel Built-in Normal" xfId="55" xr:uid="{C32C1744-FD36-4D2D-9F41-EFE271929BE1}"/>
    <cellStyle name="xl22" xfId="3" xr:uid="{00000000-0005-0000-0000-000000000000}"/>
    <cellStyle name="xl23" xfId="25" xr:uid="{00000000-0005-0000-0000-000001000000}"/>
    <cellStyle name="xl24" xfId="5" xr:uid="{00000000-0005-0000-0000-000002000000}"/>
    <cellStyle name="xl25" xfId="28" xr:uid="{00000000-0005-0000-0000-000003000000}"/>
    <cellStyle name="xl26" xfId="36" xr:uid="{00000000-0005-0000-0000-000004000000}"/>
    <cellStyle name="xl27" xfId="2" xr:uid="{00000000-0005-0000-0000-000005000000}"/>
    <cellStyle name="xl28" xfId="26" xr:uid="{00000000-0005-0000-0000-000006000000}"/>
    <cellStyle name="xl29" xfId="7" xr:uid="{00000000-0005-0000-0000-000007000000}"/>
    <cellStyle name="xl30" xfId="10" xr:uid="{00000000-0005-0000-0000-000008000000}"/>
    <cellStyle name="xl32" xfId="12" xr:uid="{00000000-0005-0000-0000-000009000000}"/>
    <cellStyle name="xl33" xfId="16" xr:uid="{00000000-0005-0000-0000-00000A000000}"/>
    <cellStyle name="xl34" xfId="19" xr:uid="{00000000-0005-0000-0000-00000B000000}"/>
    <cellStyle name="xl35" xfId="31" xr:uid="{00000000-0005-0000-0000-00000C000000}"/>
    <cellStyle name="xl35 2" xfId="42" xr:uid="{00000000-0005-0000-0000-00000D000000}"/>
    <cellStyle name="xl35 3" xfId="51" xr:uid="{A2EDEA92-E038-49A9-942B-087E7A1E3B42}"/>
    <cellStyle name="xl36" xfId="32" xr:uid="{00000000-0005-0000-0000-00000E000000}"/>
    <cellStyle name="xl36 2" xfId="43" xr:uid="{00000000-0005-0000-0000-00000F000000}"/>
    <cellStyle name="xl36 3" xfId="52" xr:uid="{DCB4EBC8-DED7-44E3-8218-8611F3E3BCA4}"/>
    <cellStyle name="xl37" xfId="33" xr:uid="{00000000-0005-0000-0000-000010000000}"/>
    <cellStyle name="xl37 2" xfId="44" xr:uid="{00000000-0005-0000-0000-000011000000}"/>
    <cellStyle name="xl37 3" xfId="53" xr:uid="{80D14ABC-013D-435B-8E70-8848949ED520}"/>
    <cellStyle name="xl38" xfId="37" xr:uid="{00000000-0005-0000-0000-000012000000}"/>
    <cellStyle name="xl38 2" xfId="45" xr:uid="{00000000-0005-0000-0000-000013000000}"/>
    <cellStyle name="xl38 3" xfId="54" xr:uid="{30D5EBED-D11A-42A1-9281-6B584F3D980D}"/>
    <cellStyle name="xl39" xfId="23" xr:uid="{00000000-0005-0000-0000-000014000000}"/>
    <cellStyle name="xl40" xfId="24" xr:uid="{00000000-0005-0000-0000-000015000000}"/>
    <cellStyle name="xl41" xfId="29" xr:uid="{00000000-0005-0000-0000-000016000000}"/>
    <cellStyle name="xl41 2" xfId="41" xr:uid="{00000000-0005-0000-0000-000017000000}"/>
    <cellStyle name="xl41 3" xfId="50" xr:uid="{2CE4674D-4FB9-4933-851F-AF0BBD01BAA1}"/>
    <cellStyle name="xl42" xfId="13" xr:uid="{00000000-0005-0000-0000-000018000000}"/>
    <cellStyle name="xl43" xfId="17" xr:uid="{00000000-0005-0000-0000-000019000000}"/>
    <cellStyle name="xl44" xfId="20" xr:uid="{00000000-0005-0000-0000-00001A000000}"/>
    <cellStyle name="xl45" xfId="27" xr:uid="{00000000-0005-0000-0000-00001B000000}"/>
    <cellStyle name="xl46" xfId="30" xr:uid="{00000000-0005-0000-0000-00001C000000}"/>
    <cellStyle name="xl47" xfId="34" xr:uid="{00000000-0005-0000-0000-00001D000000}"/>
    <cellStyle name="xl49" xfId="6" xr:uid="{00000000-0005-0000-0000-00001E000000}"/>
    <cellStyle name="xl50" xfId="14" xr:uid="{00000000-0005-0000-0000-00001F000000}"/>
    <cellStyle name="xl51" xfId="18" xr:uid="{00000000-0005-0000-0000-000020000000}"/>
    <cellStyle name="xl52" xfId="21" xr:uid="{00000000-0005-0000-0000-000021000000}"/>
    <cellStyle name="xl53" xfId="8" xr:uid="{00000000-0005-0000-0000-000022000000}"/>
    <cellStyle name="xl54" xfId="9" xr:uid="{00000000-0005-0000-0000-000023000000}"/>
    <cellStyle name="xl55" xfId="11" xr:uid="{00000000-0005-0000-0000-000024000000}"/>
    <cellStyle name="xl57" xfId="15" xr:uid="{00000000-0005-0000-0000-000025000000}"/>
    <cellStyle name="xl58" xfId="22" xr:uid="{00000000-0005-0000-0000-000026000000}"/>
    <cellStyle name="xl59" xfId="38" xr:uid="{00000000-0005-0000-0000-000027000000}"/>
    <cellStyle name="xl60" xfId="39" xr:uid="{00000000-0005-0000-0000-000028000000}"/>
    <cellStyle name="xl61" xfId="4" xr:uid="{00000000-0005-0000-0000-000029000000}"/>
    <cellStyle name="xl64" xfId="49" xr:uid="{F4B425A7-52C3-4840-9B12-01A2E88812DF}"/>
    <cellStyle name="Денежный 2" xfId="57" xr:uid="{9200C52A-CF85-4541-B893-5FDACF8B41D5}"/>
    <cellStyle name="Обычный" xfId="0" builtinId="0"/>
    <cellStyle name="Обычный 2" xfId="1" xr:uid="{00000000-0005-0000-0000-00002B000000}"/>
    <cellStyle name="Обычный 2 2" xfId="40" xr:uid="{00000000-0005-0000-0000-00002C000000}"/>
    <cellStyle name="Обычный 3" xfId="56" xr:uid="{A7085A6D-FEC9-4A2E-9E4A-DE5F960AC90C}"/>
    <cellStyle name="Обычный_SVODKA2004" xfId="35" xr:uid="{00000000-0005-0000-0000-00002D000000}"/>
    <cellStyle name="Обычный_Лист1" xfId="46" xr:uid="{00000000-0005-0000-0000-00002E000000}"/>
    <cellStyle name="Финансовый" xfId="47" builtinId="3"/>
    <cellStyle name="Финансовый 7 2 3" xfId="48" xr:uid="{429A95D5-C7F7-41DC-AD26-68F133E86505}"/>
  </cellStyles>
  <dxfs count="0"/>
  <tableStyles count="0" defaultTableStyle="TableStyleMedium2" defaultPivotStyle="PivotStyleLight16"/>
  <colors>
    <mruColors>
      <color rgb="FFCC0000"/>
      <color rgb="FF9999FF"/>
      <color rgb="FF66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externalLink" Target="externalLinks/externalLink2.xml"/><Relationship Id="rId35" Type="http://schemas.openxmlformats.org/officeDocument/2006/relationships/calcChain" Target="calcChain.xml"/><Relationship Id="rId8" Type="http://schemas.openxmlformats.org/officeDocument/2006/relationships/worksheet" Target="worksheets/sheet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90;&#1095;&#1077;&#1090;&#1099;/2020/&#1088;&#1072;&#1073;&#1086;&#1090;&#1072;%202020/&#1057;&#1087;&#1086;&#1088;&#1090;&#1080;&#1074;&#1085;&#1099;&#1077;%20&#1086;&#1073;&#1100;&#1077;&#1082;&#1090;&#1099;%20&#1087;&#1083;&#1086;&#1097;&#1072;&#1076;&#1100;/&#1057;&#1074;&#1077;&#1076;&#1077;&#1085;&#1080;&#1103;%20&#1052;&#1054;%20&#1043;&#1086;&#1088;&#1086;&#1076;%20&#1052;&#1080;&#1088;&#1085;&#1099;&#1081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&#1040;&#1059;&#1055;%20&#1040;&#1053;%20&#1044;&#1054;&#1054;%20&#1040;&#1083;&#1084;&#1072;&#1079;&#1080;&#1082;\&#1054;&#1090;&#1076;&#1077;&#1083;%20&#1101;&#1082;&#1086;&#1085;&#1086;&#1084;&#1080;&#1082;&#1080;%20&#1080;%20&#1079;&#1072;&#1088;&#1072;&#1073;&#1086;&#1090;&#1085;&#1086;&#1081;%20&#1087;&#1083;&#1072;&#1090;&#1099;\&#1054;&#1073;&#1097;&#1072;&#1103;%20&#1087;&#1072;&#1087;&#1082;&#1072;%20&#1086;&#1090;&#1076;&#1077;&#1083;&#1072;\&#1054;&#1069;&#1080;&#1047;&#1055;\&#1055;&#1056;&#1045;&#1052;&#1048;&#1071;\&#1055;&#1088;&#1077;&#1084;&#1080;&#1103;%20&#1088;&#1072;&#1073;&#1086;&#1095;&#1080;&#1093;,&#1056;&#1057;&#1057;%202019%20&#1075;&#1086;&#1076;\&#1058;&#1072;&#1073;&#1083;&#1080;&#1094;&#1072;%20&#1082;%20&#1087;&#1088;&#1077;&#1084;&#1080;&#1080;%20&#1087;&#1086;%20&#1093;&#1086;&#1079;&#1103;&#1081;&#1089;&#1090;&#1074;&#1077;&#1085;&#1085;&#1086;&#1084;&#1091;%20&#1089;&#1086;&#1076;&#1077;&#1088;&#1078;&#1072;&#1085;&#1080;&#1102;%20201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itovadya.MPTI\Desktop\&#1060;&#1086;&#1088;&#1084;&#1072;%20&#1087;&#1072;&#1089;&#1087;&#1086;&#1088;&#1090;&#1072;%20&#1042;&#1059;&#1047;%20&#1050;&#1091;&#1088;&#1085;&#1077;&#1074;&#1072;%20&#1053;.&#1042;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 refreshError="1">
        <row r="4">
          <cell r="M4" t="str">
            <v>Спортивная площадка "Факел"</v>
          </cell>
          <cell r="N4">
            <v>1763</v>
          </cell>
          <cell r="P4">
            <v>1989</v>
          </cell>
          <cell r="Q4">
            <v>43.8</v>
          </cell>
        </row>
        <row r="5">
          <cell r="M5" t="str">
            <v>Спортивная площадка "Вымпел"</v>
          </cell>
          <cell r="N5">
            <v>487</v>
          </cell>
          <cell r="P5">
            <v>1986</v>
          </cell>
          <cell r="Q5">
            <v>52.9</v>
          </cell>
        </row>
        <row r="6">
          <cell r="M6" t="str">
            <v>Хоккейный корт "Верхний поселок"</v>
          </cell>
          <cell r="P6">
            <v>2010</v>
          </cell>
          <cell r="Q6">
            <v>22.11</v>
          </cell>
        </row>
        <row r="7">
          <cell r="M7" t="str">
            <v>Спортивная площадка Ленина 11</v>
          </cell>
          <cell r="P7">
            <v>2013</v>
          </cell>
          <cell r="Q7">
            <v>20</v>
          </cell>
        </row>
        <row r="8">
          <cell r="M8" t="str">
            <v>Спортивная площадка "Тихонова 15"</v>
          </cell>
          <cell r="P8">
            <v>2015</v>
          </cell>
          <cell r="Q8">
            <v>30</v>
          </cell>
        </row>
        <row r="9">
          <cell r="M9" t="str">
            <v>Спортивная площадка Мкр." Заречный"</v>
          </cell>
          <cell r="N9">
            <v>480</v>
          </cell>
          <cell r="P9">
            <v>2017</v>
          </cell>
          <cell r="Q9">
            <v>10</v>
          </cell>
        </row>
        <row r="10">
          <cell r="M10" t="str">
            <v>Спортивная площадка ул.Аммосова</v>
          </cell>
          <cell r="P10">
            <v>2018</v>
          </cell>
          <cell r="Q10">
            <v>10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Электроэнергия"/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Факторы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27">
          <cell r="BO27">
            <v>790.01443000000006</v>
          </cell>
        </row>
      </sheetData>
      <sheetData sheetId="1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</sheetNames>
    <sheetDataSet>
      <sheetData sheetId="0" refreshError="1">
        <row r="8">
          <cell r="AB8">
            <v>163</v>
          </cell>
          <cell r="AC8">
            <v>142</v>
          </cell>
          <cell r="AD8">
            <v>33</v>
          </cell>
          <cell r="AE8">
            <v>22</v>
          </cell>
          <cell r="AF8">
            <v>46</v>
          </cell>
          <cell r="AG8">
            <v>56</v>
          </cell>
          <cell r="AH8">
            <v>46</v>
          </cell>
          <cell r="AI8">
            <v>56</v>
          </cell>
          <cell r="AJ8">
            <v>84</v>
          </cell>
          <cell r="AK8">
            <v>64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C65"/>
  <sheetViews>
    <sheetView workbookViewId="0">
      <selection activeCell="A5" sqref="A5:B5"/>
    </sheetView>
  </sheetViews>
  <sheetFormatPr defaultRowHeight="15" x14ac:dyDescent="0.25"/>
  <cols>
    <col min="1" max="1" width="36.140625" customWidth="1"/>
    <col min="2" max="2" width="13.85546875" customWidth="1"/>
    <col min="3" max="3" width="19.7109375" customWidth="1"/>
  </cols>
  <sheetData>
    <row r="1" spans="1:3" ht="18" x14ac:dyDescent="0.25">
      <c r="A1" s="1" t="s">
        <v>0</v>
      </c>
      <c r="B1" s="2"/>
    </row>
    <row r="2" spans="1:3" x14ac:dyDescent="0.25">
      <c r="A2" s="3" t="s">
        <v>896</v>
      </c>
      <c r="B2" s="3"/>
    </row>
    <row r="3" spans="1:3" x14ac:dyDescent="0.25">
      <c r="A3" s="70" t="s">
        <v>585</v>
      </c>
      <c r="B3" s="3"/>
    </row>
    <row r="4" spans="1:3" x14ac:dyDescent="0.25">
      <c r="A4" s="229"/>
      <c r="B4" s="273" t="s">
        <v>2</v>
      </c>
    </row>
    <row r="5" spans="1:3" x14ac:dyDescent="0.25">
      <c r="A5" s="295" t="s">
        <v>3</v>
      </c>
      <c r="B5" s="295" t="s">
        <v>4</v>
      </c>
    </row>
    <row r="6" spans="1:3" ht="22.5" x14ac:dyDescent="0.25">
      <c r="A6" s="274" t="s">
        <v>586</v>
      </c>
      <c r="B6" s="279">
        <f>B8+B9+B10</f>
        <v>35390</v>
      </c>
    </row>
    <row r="7" spans="1:3" x14ac:dyDescent="0.25">
      <c r="A7" s="274" t="s">
        <v>93</v>
      </c>
      <c r="B7" s="279"/>
    </row>
    <row r="8" spans="1:3" ht="22.5" x14ac:dyDescent="0.25">
      <c r="A8" s="275" t="s">
        <v>530</v>
      </c>
      <c r="B8" s="279">
        <v>8368</v>
      </c>
    </row>
    <row r="9" spans="1:3" ht="22.5" x14ac:dyDescent="0.25">
      <c r="A9" s="275" t="s">
        <v>531</v>
      </c>
      <c r="B9" s="279">
        <v>21543</v>
      </c>
    </row>
    <row r="10" spans="1:3" ht="33.75" x14ac:dyDescent="0.25">
      <c r="A10" s="275" t="s">
        <v>532</v>
      </c>
      <c r="B10" s="279">
        <v>5479</v>
      </c>
    </row>
    <row r="11" spans="1:3" x14ac:dyDescent="0.25">
      <c r="A11" s="275" t="s">
        <v>5</v>
      </c>
      <c r="B11" s="279">
        <f>B13+B14+B15</f>
        <v>17131</v>
      </c>
    </row>
    <row r="12" spans="1:3" x14ac:dyDescent="0.25">
      <c r="A12" s="274" t="s">
        <v>93</v>
      </c>
      <c r="B12" s="279"/>
    </row>
    <row r="13" spans="1:3" ht="22.5" x14ac:dyDescent="0.25">
      <c r="A13" s="275" t="s">
        <v>530</v>
      </c>
      <c r="B13" s="279">
        <v>4230</v>
      </c>
    </row>
    <row r="14" spans="1:3" x14ac:dyDescent="0.25">
      <c r="A14" s="275" t="s">
        <v>533</v>
      </c>
      <c r="B14" s="279">
        <v>11358</v>
      </c>
      <c r="C14" s="94"/>
    </row>
    <row r="15" spans="1:3" ht="22.5" x14ac:dyDescent="0.25">
      <c r="A15" s="275" t="s">
        <v>534</v>
      </c>
      <c r="B15" s="279">
        <v>1543</v>
      </c>
    </row>
    <row r="16" spans="1:3" x14ac:dyDescent="0.25">
      <c r="A16" s="275" t="s">
        <v>6</v>
      </c>
      <c r="B16" s="279">
        <f>B18+B19+B20</f>
        <v>18259</v>
      </c>
    </row>
    <row r="17" spans="1:2" x14ac:dyDescent="0.25">
      <c r="A17" s="274" t="s">
        <v>93</v>
      </c>
      <c r="B17" s="279"/>
    </row>
    <row r="18" spans="1:2" ht="22.5" x14ac:dyDescent="0.25">
      <c r="A18" s="275" t="s">
        <v>530</v>
      </c>
      <c r="B18" s="279">
        <f>4138</f>
        <v>4138</v>
      </c>
    </row>
    <row r="19" spans="1:2" ht="22.5" x14ac:dyDescent="0.25">
      <c r="A19" s="275" t="s">
        <v>535</v>
      </c>
      <c r="B19" s="279">
        <v>10185</v>
      </c>
    </row>
    <row r="20" spans="1:2" ht="22.5" x14ac:dyDescent="0.25">
      <c r="A20" s="275" t="s">
        <v>536</v>
      </c>
      <c r="B20" s="279">
        <v>3936</v>
      </c>
    </row>
    <row r="21" spans="1:2" x14ac:dyDescent="0.25">
      <c r="A21" s="274" t="s">
        <v>7</v>
      </c>
      <c r="B21" s="279">
        <f>B22+B23</f>
        <v>9285</v>
      </c>
    </row>
    <row r="22" spans="1:2" x14ac:dyDescent="0.25">
      <c r="A22" s="275" t="s">
        <v>8</v>
      </c>
      <c r="B22" s="279">
        <v>3652</v>
      </c>
    </row>
    <row r="23" spans="1:2" x14ac:dyDescent="0.25">
      <c r="A23" s="275" t="s">
        <v>9</v>
      </c>
      <c r="B23" s="279">
        <v>5633</v>
      </c>
    </row>
    <row r="24" spans="1:2" x14ac:dyDescent="0.25">
      <c r="A24" s="274" t="s">
        <v>10</v>
      </c>
      <c r="B24" s="279">
        <v>464</v>
      </c>
    </row>
    <row r="25" spans="1:2" x14ac:dyDescent="0.25">
      <c r="A25" s="274" t="s">
        <v>11</v>
      </c>
      <c r="B25" s="279">
        <v>276</v>
      </c>
    </row>
    <row r="26" spans="1:2" ht="22.5" x14ac:dyDescent="0.25">
      <c r="A26" s="275" t="s">
        <v>530</v>
      </c>
      <c r="B26" s="279"/>
    </row>
    <row r="27" spans="1:2" x14ac:dyDescent="0.25">
      <c r="A27" s="275" t="s">
        <v>12</v>
      </c>
      <c r="B27" s="279"/>
    </row>
    <row r="28" spans="1:2" ht="22.5" x14ac:dyDescent="0.25">
      <c r="A28" s="275" t="s">
        <v>531</v>
      </c>
      <c r="B28" s="279"/>
    </row>
    <row r="29" spans="1:2" ht="33.75" x14ac:dyDescent="0.25">
      <c r="A29" s="275" t="s">
        <v>532</v>
      </c>
      <c r="B29" s="279"/>
    </row>
    <row r="30" spans="1:2" ht="22.5" x14ac:dyDescent="0.25">
      <c r="A30" s="275" t="s">
        <v>537</v>
      </c>
      <c r="B30" s="279">
        <f>B24-B25</f>
        <v>188</v>
      </c>
    </row>
    <row r="31" spans="1:2" x14ac:dyDescent="0.25">
      <c r="A31" s="274" t="s">
        <v>13</v>
      </c>
      <c r="B31" s="279">
        <f>B32+B33+B34</f>
        <v>2111</v>
      </c>
    </row>
    <row r="32" spans="1:2" ht="22.5" x14ac:dyDescent="0.25">
      <c r="A32" s="275" t="s">
        <v>530</v>
      </c>
      <c r="B32" s="279">
        <v>320</v>
      </c>
    </row>
    <row r="33" spans="1:2" ht="22.5" x14ac:dyDescent="0.25">
      <c r="A33" s="275" t="s">
        <v>531</v>
      </c>
      <c r="B33" s="279">
        <v>1552</v>
      </c>
    </row>
    <row r="34" spans="1:2" ht="33.75" x14ac:dyDescent="0.25">
      <c r="A34" s="275" t="s">
        <v>532</v>
      </c>
      <c r="B34" s="279">
        <v>239</v>
      </c>
    </row>
    <row r="35" spans="1:2" x14ac:dyDescent="0.25">
      <c r="A35" s="276"/>
      <c r="B35" s="279"/>
    </row>
    <row r="36" spans="1:2" x14ac:dyDescent="0.25">
      <c r="A36" s="274" t="s">
        <v>14</v>
      </c>
      <c r="B36" s="279">
        <f>B38+B39+B40</f>
        <v>2290</v>
      </c>
    </row>
    <row r="37" spans="1:2" x14ac:dyDescent="0.25">
      <c r="A37" s="275" t="s">
        <v>93</v>
      </c>
      <c r="B37" s="279"/>
    </row>
    <row r="38" spans="1:2" ht="22.5" x14ac:dyDescent="0.25">
      <c r="A38" s="275" t="s">
        <v>530</v>
      </c>
      <c r="B38" s="279">
        <v>372</v>
      </c>
    </row>
    <row r="39" spans="1:2" ht="22.5" x14ac:dyDescent="0.25">
      <c r="A39" s="275" t="s">
        <v>531</v>
      </c>
      <c r="B39" s="279">
        <v>1592</v>
      </c>
    </row>
    <row r="40" spans="1:2" ht="33.75" x14ac:dyDescent="0.25">
      <c r="A40" s="275" t="s">
        <v>532</v>
      </c>
      <c r="B40" s="279">
        <v>326</v>
      </c>
    </row>
    <row r="41" spans="1:2" x14ac:dyDescent="0.25">
      <c r="A41" s="277" t="s">
        <v>538</v>
      </c>
      <c r="B41" s="279">
        <f>B31-B36</f>
        <v>-179</v>
      </c>
    </row>
    <row r="42" spans="1:2" x14ac:dyDescent="0.25">
      <c r="A42" s="275" t="s">
        <v>93</v>
      </c>
      <c r="B42" s="279"/>
    </row>
    <row r="43" spans="1:2" ht="22.5" x14ac:dyDescent="0.25">
      <c r="A43" s="275" t="s">
        <v>530</v>
      </c>
      <c r="B43" s="279">
        <f>B32-B38</f>
        <v>-52</v>
      </c>
    </row>
    <row r="44" spans="1:2" ht="22.5" x14ac:dyDescent="0.25">
      <c r="A44" s="275" t="s">
        <v>531</v>
      </c>
      <c r="B44" s="279">
        <f t="shared" ref="B44:B45" si="0">B33-B39</f>
        <v>-40</v>
      </c>
    </row>
    <row r="45" spans="1:2" ht="33.75" x14ac:dyDescent="0.25">
      <c r="A45" s="275" t="s">
        <v>532</v>
      </c>
      <c r="B45" s="279">
        <f t="shared" si="0"/>
        <v>-87</v>
      </c>
    </row>
    <row r="46" spans="1:2" ht="22.5" x14ac:dyDescent="0.25">
      <c r="A46" s="274" t="s">
        <v>15</v>
      </c>
      <c r="B46" s="279">
        <f>B9</f>
        <v>21543</v>
      </c>
    </row>
    <row r="47" spans="1:2" x14ac:dyDescent="0.25">
      <c r="A47" s="274" t="s">
        <v>452</v>
      </c>
      <c r="B47" s="279">
        <v>23352</v>
      </c>
    </row>
    <row r="48" spans="1:2" x14ac:dyDescent="0.25">
      <c r="A48" s="275" t="s">
        <v>33</v>
      </c>
      <c r="B48" s="279"/>
    </row>
    <row r="49" spans="1:2" ht="25.5" customHeight="1" x14ac:dyDescent="0.25">
      <c r="A49" s="275" t="s">
        <v>539</v>
      </c>
      <c r="B49" s="279"/>
    </row>
    <row r="50" spans="1:2" ht="25.5" customHeight="1" x14ac:dyDescent="0.25">
      <c r="A50" s="275" t="s">
        <v>541</v>
      </c>
      <c r="B50" s="279"/>
    </row>
    <row r="51" spans="1:2" ht="22.5" x14ac:dyDescent="0.25">
      <c r="A51" s="274" t="s">
        <v>454</v>
      </c>
      <c r="B51" s="279"/>
    </row>
    <row r="52" spans="1:2" ht="22.5" x14ac:dyDescent="0.25">
      <c r="A52" s="274" t="s">
        <v>16</v>
      </c>
      <c r="B52" s="279">
        <v>280</v>
      </c>
    </row>
    <row r="53" spans="1:2" ht="22.5" x14ac:dyDescent="0.25">
      <c r="A53" s="274" t="s">
        <v>453</v>
      </c>
      <c r="B53" s="279">
        <v>5479</v>
      </c>
    </row>
    <row r="54" spans="1:2" x14ac:dyDescent="0.25">
      <c r="A54" s="275" t="s">
        <v>17</v>
      </c>
      <c r="B54" s="279"/>
    </row>
    <row r="55" spans="1:2" x14ac:dyDescent="0.25">
      <c r="A55" s="274" t="s">
        <v>18</v>
      </c>
      <c r="B55" s="279"/>
    </row>
    <row r="56" spans="1:2" x14ac:dyDescent="0.25">
      <c r="A56" s="275" t="s">
        <v>17</v>
      </c>
      <c r="B56" s="279"/>
    </row>
    <row r="57" spans="1:2" x14ac:dyDescent="0.25">
      <c r="A57" s="274" t="s">
        <v>540</v>
      </c>
      <c r="B57" s="279"/>
    </row>
    <row r="58" spans="1:2" ht="45" x14ac:dyDescent="0.25">
      <c r="A58" s="274" t="s">
        <v>542</v>
      </c>
      <c r="B58" s="279"/>
    </row>
    <row r="59" spans="1:2" ht="33.75" x14ac:dyDescent="0.25">
      <c r="A59" s="274" t="s">
        <v>543</v>
      </c>
      <c r="B59" s="279"/>
    </row>
    <row r="60" spans="1:2" x14ac:dyDescent="0.25">
      <c r="A60" s="274" t="s">
        <v>19</v>
      </c>
      <c r="B60" s="279">
        <f>35390/3</f>
        <v>11796.666666666666</v>
      </c>
    </row>
    <row r="61" spans="1:2" x14ac:dyDescent="0.25">
      <c r="A61" s="278" t="s">
        <v>21</v>
      </c>
      <c r="B61" s="279"/>
    </row>
    <row r="62" spans="1:2" x14ac:dyDescent="0.25">
      <c r="A62" s="275" t="s">
        <v>20</v>
      </c>
      <c r="B62" s="279">
        <v>1698</v>
      </c>
    </row>
    <row r="63" spans="1:2" x14ac:dyDescent="0.25">
      <c r="A63" s="278" t="s">
        <v>21</v>
      </c>
      <c r="B63" s="279"/>
    </row>
    <row r="64" spans="1:2" ht="33.75" x14ac:dyDescent="0.25">
      <c r="A64" s="274" t="s">
        <v>22</v>
      </c>
      <c r="B64" s="279">
        <v>220</v>
      </c>
    </row>
    <row r="65" spans="1:2" ht="22.5" x14ac:dyDescent="0.25">
      <c r="A65" s="274" t="s">
        <v>451</v>
      </c>
      <c r="B65" s="279">
        <v>386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00B0F0"/>
  </sheetPr>
  <dimension ref="A1:K7"/>
  <sheetViews>
    <sheetView workbookViewId="0">
      <selection activeCell="A4" sqref="A4:K4"/>
    </sheetView>
  </sheetViews>
  <sheetFormatPr defaultRowHeight="15" x14ac:dyDescent="0.25"/>
  <cols>
    <col min="1" max="1" width="18.5703125" customWidth="1"/>
    <col min="2" max="5" width="16.140625" customWidth="1"/>
  </cols>
  <sheetData>
    <row r="1" spans="1:11" ht="18" x14ac:dyDescent="0.25">
      <c r="A1" s="254" t="s">
        <v>81</v>
      </c>
      <c r="B1" s="254"/>
      <c r="C1" s="254"/>
      <c r="D1" s="254"/>
      <c r="E1" s="254"/>
      <c r="F1" s="254"/>
      <c r="G1" s="254"/>
      <c r="H1" s="254"/>
      <c r="I1" s="254"/>
      <c r="J1" s="254"/>
      <c r="K1" s="254"/>
    </row>
    <row r="2" spans="1:11" x14ac:dyDescent="0.25">
      <c r="A2" s="15"/>
      <c r="B2" s="253" t="s">
        <v>896</v>
      </c>
      <c r="C2" s="253"/>
      <c r="D2" s="253"/>
      <c r="E2" s="22"/>
      <c r="F2" s="15"/>
      <c r="G2" s="15"/>
      <c r="H2" s="15"/>
      <c r="I2" s="15"/>
      <c r="J2" s="15"/>
      <c r="K2" s="15"/>
    </row>
    <row r="3" spans="1:11" x14ac:dyDescent="0.25">
      <c r="A3" s="18"/>
      <c r="B3" s="262" t="s">
        <v>587</v>
      </c>
      <c r="C3" s="262"/>
      <c r="D3" s="262"/>
      <c r="E3" s="23"/>
      <c r="F3" s="20"/>
      <c r="G3" s="20"/>
      <c r="H3" s="20"/>
      <c r="I3" s="20"/>
      <c r="J3" s="20"/>
      <c r="K3" s="20"/>
    </row>
    <row r="4" spans="1:11" ht="101.25" x14ac:dyDescent="0.25">
      <c r="A4" s="285" t="s">
        <v>82</v>
      </c>
      <c r="B4" s="285" t="s">
        <v>83</v>
      </c>
      <c r="C4" s="285" t="s">
        <v>84</v>
      </c>
      <c r="D4" s="285" t="s">
        <v>85</v>
      </c>
      <c r="E4" s="285" t="s">
        <v>86</v>
      </c>
      <c r="F4" s="285" t="s">
        <v>87</v>
      </c>
      <c r="G4" s="285" t="s">
        <v>88</v>
      </c>
      <c r="H4" s="285" t="s">
        <v>89</v>
      </c>
      <c r="I4" s="285" t="s">
        <v>90</v>
      </c>
      <c r="J4" s="285" t="s">
        <v>91</v>
      </c>
      <c r="K4" s="285" t="s">
        <v>92</v>
      </c>
    </row>
    <row r="5" spans="1:11" ht="51" x14ac:dyDescent="0.25">
      <c r="A5" s="233" t="s">
        <v>861</v>
      </c>
      <c r="B5" s="230" t="s">
        <v>862</v>
      </c>
      <c r="C5" s="230" t="s">
        <v>863</v>
      </c>
      <c r="D5" s="230" t="s">
        <v>864</v>
      </c>
      <c r="E5" s="230" t="s">
        <v>865</v>
      </c>
      <c r="F5" s="101">
        <v>93.1</v>
      </c>
      <c r="G5" s="231">
        <v>2017</v>
      </c>
      <c r="H5" s="101">
        <v>423.5</v>
      </c>
      <c r="I5" s="265">
        <v>181.96</v>
      </c>
      <c r="J5" s="265">
        <v>412.8</v>
      </c>
      <c r="K5" s="101">
        <f>104100.797-K6</f>
        <v>95940.481</v>
      </c>
    </row>
    <row r="6" spans="1:11" ht="51" x14ac:dyDescent="0.25">
      <c r="A6" s="233" t="s">
        <v>866</v>
      </c>
      <c r="B6" s="230" t="s">
        <v>867</v>
      </c>
      <c r="C6" s="230" t="s">
        <v>863</v>
      </c>
      <c r="D6" s="230" t="s">
        <v>868</v>
      </c>
      <c r="E6" s="230" t="s">
        <v>869</v>
      </c>
      <c r="F6" s="101">
        <v>91.7</v>
      </c>
      <c r="G6" s="231"/>
      <c r="H6" s="101">
        <v>60</v>
      </c>
      <c r="I6" s="265"/>
      <c r="J6" s="265"/>
      <c r="K6" s="101">
        <v>8160.3159999999998</v>
      </c>
    </row>
    <row r="7" spans="1:11" ht="33.75" x14ac:dyDescent="0.25">
      <c r="A7" s="234" t="s">
        <v>882</v>
      </c>
      <c r="B7" s="235" t="s">
        <v>883</v>
      </c>
      <c r="C7" s="235" t="s">
        <v>884</v>
      </c>
      <c r="D7" s="235" t="s">
        <v>885</v>
      </c>
      <c r="E7" s="235" t="s">
        <v>886</v>
      </c>
      <c r="F7" s="236">
        <v>1</v>
      </c>
      <c r="G7" s="237"/>
      <c r="H7" s="238">
        <v>0.86</v>
      </c>
      <c r="I7" s="236"/>
      <c r="J7" s="238">
        <v>0.08</v>
      </c>
      <c r="K7" s="238">
        <v>222.99</v>
      </c>
    </row>
  </sheetData>
  <mergeCells count="5">
    <mergeCell ref="B2:D2"/>
    <mergeCell ref="B3:D3"/>
    <mergeCell ref="A1:K1"/>
    <mergeCell ref="I5:I6"/>
    <mergeCell ref="J5:J6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00B0F0"/>
  </sheetPr>
  <dimension ref="A1:AS15"/>
  <sheetViews>
    <sheetView workbookViewId="0">
      <selection activeCell="K10" sqref="K10"/>
    </sheetView>
  </sheetViews>
  <sheetFormatPr defaultRowHeight="15" x14ac:dyDescent="0.25"/>
  <cols>
    <col min="1" max="1" width="19.42578125" customWidth="1"/>
    <col min="8" max="8" width="6.5703125" customWidth="1"/>
    <col min="9" max="9" width="7.85546875" customWidth="1"/>
    <col min="10" max="10" width="11" customWidth="1"/>
    <col min="11" max="11" width="10.85546875" customWidth="1"/>
    <col min="22" max="22" width="9" customWidth="1"/>
    <col min="23" max="23" width="8.42578125" customWidth="1"/>
    <col min="24" max="24" width="9.85546875" customWidth="1"/>
    <col min="25" max="25" width="8" customWidth="1"/>
    <col min="26" max="26" width="12.140625" customWidth="1"/>
    <col min="27" max="27" width="11.42578125" customWidth="1"/>
    <col min="28" max="28" width="12.42578125" customWidth="1"/>
    <col min="29" max="45" width="9.85546875" customWidth="1"/>
  </cols>
  <sheetData>
    <row r="1" spans="1:45" s="87" customFormat="1" ht="18" customHeight="1" x14ac:dyDescent="0.25">
      <c r="A1" s="266" t="s">
        <v>95</v>
      </c>
      <c r="B1" s="266"/>
      <c r="C1" s="266"/>
      <c r="D1" s="266"/>
      <c r="E1" s="266"/>
      <c r="F1" s="266"/>
      <c r="G1" s="266"/>
      <c r="H1" s="266"/>
      <c r="I1" s="266"/>
      <c r="J1" s="266"/>
      <c r="K1" s="266"/>
      <c r="L1" s="266"/>
      <c r="M1" s="266"/>
      <c r="N1" s="266"/>
      <c r="O1" s="266"/>
      <c r="P1" s="266"/>
      <c r="Q1" s="266"/>
      <c r="R1" s="266"/>
      <c r="S1" s="266"/>
      <c r="T1" s="266"/>
      <c r="U1" s="266"/>
      <c r="V1" s="90"/>
      <c r="W1" s="90"/>
      <c r="X1" s="90"/>
      <c r="Y1" s="90"/>
    </row>
    <row r="2" spans="1:45" s="87" customFormat="1" x14ac:dyDescent="0.25">
      <c r="A2" s="89"/>
      <c r="B2" s="260" t="s">
        <v>896</v>
      </c>
      <c r="C2" s="260"/>
      <c r="D2" s="260"/>
      <c r="E2" s="260"/>
      <c r="F2" s="260"/>
      <c r="G2" s="260"/>
      <c r="H2" s="260"/>
      <c r="I2" s="260"/>
      <c r="J2" s="260"/>
      <c r="K2" s="260"/>
      <c r="L2" s="260"/>
      <c r="M2" s="260"/>
      <c r="N2" s="260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</row>
    <row r="3" spans="1:45" s="87" customFormat="1" x14ac:dyDescent="0.25">
      <c r="A3" s="84"/>
      <c r="B3" s="260" t="s">
        <v>587</v>
      </c>
      <c r="C3" s="260"/>
      <c r="D3" s="260"/>
      <c r="E3" s="260"/>
      <c r="F3" s="260"/>
      <c r="G3" s="260"/>
      <c r="H3" s="260"/>
      <c r="I3" s="260"/>
      <c r="J3" s="260"/>
      <c r="K3" s="260"/>
      <c r="L3" s="260"/>
      <c r="M3" s="260"/>
      <c r="N3" s="260"/>
      <c r="O3" s="89"/>
      <c r="P3" s="89"/>
      <c r="Q3" s="89"/>
      <c r="R3" s="89"/>
      <c r="S3" s="89"/>
      <c r="T3" s="89"/>
      <c r="U3" s="89"/>
      <c r="V3" s="89"/>
      <c r="W3" s="89"/>
      <c r="X3" s="89"/>
      <c r="Y3" s="89"/>
    </row>
    <row r="4" spans="1:45" s="87" customFormat="1" ht="37.5" customHeight="1" x14ac:dyDescent="0.25">
      <c r="A4" s="290" t="s">
        <v>96</v>
      </c>
      <c r="B4" s="290" t="s">
        <v>97</v>
      </c>
      <c r="C4" s="290" t="s">
        <v>98</v>
      </c>
      <c r="D4" s="290" t="s">
        <v>555</v>
      </c>
      <c r="E4" s="290" t="s">
        <v>556</v>
      </c>
      <c r="F4" s="290" t="s">
        <v>557</v>
      </c>
      <c r="G4" s="290" t="s">
        <v>99</v>
      </c>
      <c r="H4" s="290"/>
      <c r="I4" s="290"/>
      <c r="J4" s="290" t="s">
        <v>558</v>
      </c>
      <c r="K4" s="290" t="s">
        <v>559</v>
      </c>
      <c r="L4" s="290" t="s">
        <v>100</v>
      </c>
      <c r="M4" s="290"/>
      <c r="N4" s="290" t="s">
        <v>461</v>
      </c>
      <c r="O4" s="290"/>
      <c r="P4" s="290" t="s">
        <v>460</v>
      </c>
      <c r="Q4" s="290"/>
      <c r="R4" s="290"/>
      <c r="S4" s="290"/>
      <c r="T4" s="290" t="s">
        <v>462</v>
      </c>
      <c r="U4" s="290"/>
      <c r="V4" s="290" t="s">
        <v>507</v>
      </c>
      <c r="W4" s="290"/>
      <c r="X4" s="291" t="s">
        <v>859</v>
      </c>
      <c r="Y4" s="291"/>
      <c r="Z4" s="291"/>
      <c r="AA4" s="291"/>
      <c r="AB4" s="291"/>
      <c r="AC4" s="291"/>
      <c r="AD4" s="291"/>
      <c r="AE4" s="291"/>
      <c r="AF4" s="291"/>
      <c r="AG4" s="291"/>
      <c r="AH4" s="291"/>
      <c r="AI4" s="291"/>
      <c r="AJ4" s="291"/>
      <c r="AK4" s="291"/>
      <c r="AL4" s="291"/>
      <c r="AM4" s="291"/>
      <c r="AN4" s="291"/>
      <c r="AO4" s="291"/>
      <c r="AP4" s="291" t="s">
        <v>503</v>
      </c>
      <c r="AQ4" s="291"/>
      <c r="AR4" s="291"/>
      <c r="AS4" s="291"/>
    </row>
    <row r="5" spans="1:45" s="87" customFormat="1" ht="29.25" customHeight="1" x14ac:dyDescent="0.25">
      <c r="A5" s="290"/>
      <c r="B5" s="290"/>
      <c r="C5" s="290"/>
      <c r="D5" s="290"/>
      <c r="E5" s="290"/>
      <c r="F5" s="290"/>
      <c r="G5" s="290" t="s">
        <v>94</v>
      </c>
      <c r="H5" s="290" t="s">
        <v>101</v>
      </c>
      <c r="I5" s="290"/>
      <c r="J5" s="290"/>
      <c r="K5" s="290"/>
      <c r="L5" s="290" t="s">
        <v>122</v>
      </c>
      <c r="M5" s="290" t="s">
        <v>103</v>
      </c>
      <c r="N5" s="290" t="s">
        <v>122</v>
      </c>
      <c r="O5" s="290" t="s">
        <v>103</v>
      </c>
      <c r="P5" s="290" t="s">
        <v>123</v>
      </c>
      <c r="Q5" s="290"/>
      <c r="R5" s="290" t="s">
        <v>124</v>
      </c>
      <c r="S5" s="290"/>
      <c r="T5" s="290" t="s">
        <v>122</v>
      </c>
      <c r="U5" s="290" t="s">
        <v>103</v>
      </c>
      <c r="V5" s="290"/>
      <c r="W5" s="290"/>
      <c r="X5" s="290" t="s">
        <v>506</v>
      </c>
      <c r="Y5" s="290"/>
      <c r="Z5" s="291" t="s">
        <v>495</v>
      </c>
      <c r="AA5" s="291"/>
      <c r="AB5" s="291"/>
      <c r="AC5" s="291"/>
      <c r="AD5" s="291" t="s">
        <v>498</v>
      </c>
      <c r="AE5" s="291"/>
      <c r="AF5" s="291"/>
      <c r="AG5" s="291"/>
      <c r="AH5" s="291" t="s">
        <v>505</v>
      </c>
      <c r="AI5" s="291"/>
      <c r="AJ5" s="291"/>
      <c r="AK5" s="291"/>
      <c r="AL5" s="291" t="s">
        <v>501</v>
      </c>
      <c r="AM5" s="291"/>
      <c r="AN5" s="291"/>
      <c r="AO5" s="291"/>
      <c r="AP5" s="291" t="s">
        <v>490</v>
      </c>
      <c r="AQ5" s="291"/>
      <c r="AR5" s="291" t="s">
        <v>491</v>
      </c>
      <c r="AS5" s="291"/>
    </row>
    <row r="6" spans="1:45" s="87" customFormat="1" ht="39" customHeight="1" x14ac:dyDescent="0.25">
      <c r="A6" s="290"/>
      <c r="B6" s="290"/>
      <c r="C6" s="290"/>
      <c r="D6" s="290"/>
      <c r="E6" s="290"/>
      <c r="F6" s="290"/>
      <c r="G6" s="290"/>
      <c r="H6" s="290" t="s">
        <v>105</v>
      </c>
      <c r="I6" s="290" t="s">
        <v>106</v>
      </c>
      <c r="J6" s="290"/>
      <c r="K6" s="290"/>
      <c r="L6" s="290"/>
      <c r="M6" s="290"/>
      <c r="N6" s="290"/>
      <c r="O6" s="290"/>
      <c r="P6" s="290" t="s">
        <v>122</v>
      </c>
      <c r="Q6" s="290" t="s">
        <v>103</v>
      </c>
      <c r="R6" s="290" t="s">
        <v>107</v>
      </c>
      <c r="S6" s="290" t="s">
        <v>103</v>
      </c>
      <c r="T6" s="290"/>
      <c r="U6" s="290"/>
      <c r="V6" s="290"/>
      <c r="W6" s="290"/>
      <c r="X6" s="290"/>
      <c r="Y6" s="290"/>
      <c r="Z6" s="291" t="s">
        <v>496</v>
      </c>
      <c r="AA6" s="291"/>
      <c r="AB6" s="291" t="s">
        <v>491</v>
      </c>
      <c r="AC6" s="291"/>
      <c r="AD6" s="291" t="s">
        <v>496</v>
      </c>
      <c r="AE6" s="291"/>
      <c r="AF6" s="291" t="s">
        <v>491</v>
      </c>
      <c r="AG6" s="291"/>
      <c r="AH6" s="291" t="s">
        <v>496</v>
      </c>
      <c r="AI6" s="291"/>
      <c r="AJ6" s="291" t="s">
        <v>491</v>
      </c>
      <c r="AK6" s="291"/>
      <c r="AL6" s="291" t="s">
        <v>496</v>
      </c>
      <c r="AM6" s="291"/>
      <c r="AN6" s="291" t="s">
        <v>491</v>
      </c>
      <c r="AO6" s="291"/>
      <c r="AP6" s="291" t="s">
        <v>502</v>
      </c>
      <c r="AQ6" s="291" t="s">
        <v>500</v>
      </c>
      <c r="AR6" s="291" t="s">
        <v>502</v>
      </c>
      <c r="AS6" s="291" t="s">
        <v>500</v>
      </c>
    </row>
    <row r="7" spans="1:45" s="87" customFormat="1" ht="61.5" customHeight="1" x14ac:dyDescent="0.25">
      <c r="A7" s="290"/>
      <c r="B7" s="290"/>
      <c r="C7" s="290"/>
      <c r="D7" s="290"/>
      <c r="E7" s="290"/>
      <c r="F7" s="290"/>
      <c r="G7" s="290"/>
      <c r="H7" s="290"/>
      <c r="I7" s="290"/>
      <c r="J7" s="290"/>
      <c r="K7" s="290"/>
      <c r="L7" s="290"/>
      <c r="M7" s="290"/>
      <c r="N7" s="290"/>
      <c r="O7" s="290"/>
      <c r="P7" s="290"/>
      <c r="Q7" s="290"/>
      <c r="R7" s="290"/>
      <c r="S7" s="290"/>
      <c r="T7" s="290"/>
      <c r="U7" s="290"/>
      <c r="V7" s="292" t="s">
        <v>490</v>
      </c>
      <c r="W7" s="292" t="s">
        <v>491</v>
      </c>
      <c r="X7" s="292" t="s">
        <v>490</v>
      </c>
      <c r="Y7" s="292" t="s">
        <v>491</v>
      </c>
      <c r="Z7" s="293" t="s">
        <v>499</v>
      </c>
      <c r="AA7" s="293" t="s">
        <v>500</v>
      </c>
      <c r="AB7" s="293" t="s">
        <v>499</v>
      </c>
      <c r="AC7" s="293" t="s">
        <v>500</v>
      </c>
      <c r="AD7" s="294" t="s">
        <v>504</v>
      </c>
      <c r="AE7" s="293" t="s">
        <v>500</v>
      </c>
      <c r="AF7" s="294" t="s">
        <v>504</v>
      </c>
      <c r="AG7" s="293" t="s">
        <v>500</v>
      </c>
      <c r="AH7" s="293" t="s">
        <v>502</v>
      </c>
      <c r="AI7" s="293" t="s">
        <v>500</v>
      </c>
      <c r="AJ7" s="293" t="s">
        <v>502</v>
      </c>
      <c r="AK7" s="293" t="s">
        <v>500</v>
      </c>
      <c r="AL7" s="293" t="s">
        <v>502</v>
      </c>
      <c r="AM7" s="293" t="s">
        <v>500</v>
      </c>
      <c r="AN7" s="293" t="s">
        <v>502</v>
      </c>
      <c r="AO7" s="293" t="s">
        <v>500</v>
      </c>
      <c r="AP7" s="291"/>
      <c r="AQ7" s="291"/>
      <c r="AR7" s="291"/>
      <c r="AS7" s="291"/>
    </row>
    <row r="8" spans="1:45" s="131" customFormat="1" ht="25.5" x14ac:dyDescent="0.2">
      <c r="A8" s="182" t="s">
        <v>664</v>
      </c>
      <c r="B8" s="169" t="s">
        <v>710</v>
      </c>
      <c r="C8" s="119">
        <v>520</v>
      </c>
      <c r="D8" s="119">
        <v>32</v>
      </c>
      <c r="E8" s="129"/>
      <c r="F8" s="129"/>
      <c r="G8" s="119">
        <v>847</v>
      </c>
      <c r="H8" s="119">
        <v>418</v>
      </c>
      <c r="I8" s="119">
        <v>429</v>
      </c>
      <c r="J8" s="129"/>
      <c r="K8" s="129"/>
      <c r="L8" s="128">
        <v>107.25</v>
      </c>
      <c r="M8" s="128">
        <v>77</v>
      </c>
      <c r="N8" s="128">
        <v>6</v>
      </c>
      <c r="O8" s="128">
        <v>6</v>
      </c>
      <c r="P8" s="128">
        <v>76.5</v>
      </c>
      <c r="Q8" s="128">
        <v>51</v>
      </c>
      <c r="R8" s="128">
        <v>69.5</v>
      </c>
      <c r="S8" s="128">
        <v>44</v>
      </c>
      <c r="T8" s="128">
        <v>24.75</v>
      </c>
      <c r="U8" s="128">
        <v>20</v>
      </c>
      <c r="V8" s="128">
        <f>X8+AQ8</f>
        <v>3931.92</v>
      </c>
      <c r="W8" s="128">
        <f>Y8+AS8</f>
        <v>4030.5599999999995</v>
      </c>
      <c r="X8" s="128">
        <f>AA8+AE8+AI8+AM8</f>
        <v>3849.4</v>
      </c>
      <c r="Y8" s="128">
        <f>AC8+AG8+AK8+AO8</f>
        <v>3948.0399999999995</v>
      </c>
      <c r="Z8" s="115">
        <v>88029</v>
      </c>
      <c r="AA8" s="115">
        <v>409.32</v>
      </c>
      <c r="AB8" s="115">
        <v>88565</v>
      </c>
      <c r="AC8" s="115">
        <v>478.35</v>
      </c>
      <c r="AD8" s="115">
        <v>825.61</v>
      </c>
      <c r="AE8" s="115">
        <v>2602.84</v>
      </c>
      <c r="AF8" s="115">
        <v>882.05499999999995</v>
      </c>
      <c r="AG8" s="115">
        <v>2780.41</v>
      </c>
      <c r="AH8" s="115">
        <v>3048.45</v>
      </c>
      <c r="AI8" s="115">
        <v>593.89</v>
      </c>
      <c r="AJ8" s="115">
        <v>1984.29</v>
      </c>
      <c r="AK8" s="115">
        <v>498.58</v>
      </c>
      <c r="AL8" s="115">
        <v>3048.48</v>
      </c>
      <c r="AM8" s="115">
        <v>243.35</v>
      </c>
      <c r="AN8" s="115">
        <v>1972.0500000000002</v>
      </c>
      <c r="AO8" s="115">
        <v>190.7</v>
      </c>
      <c r="AP8" s="115">
        <v>105.8</v>
      </c>
      <c r="AQ8" s="115">
        <v>82.52</v>
      </c>
      <c r="AR8" s="115">
        <v>105.8</v>
      </c>
      <c r="AS8" s="115">
        <v>82.52</v>
      </c>
    </row>
    <row r="9" spans="1:45" s="131" customFormat="1" ht="38.25" x14ac:dyDescent="0.2">
      <c r="A9" s="183" t="s">
        <v>670</v>
      </c>
      <c r="B9" s="169" t="s">
        <v>710</v>
      </c>
      <c r="C9" s="119">
        <v>964</v>
      </c>
      <c r="D9" s="119">
        <v>33</v>
      </c>
      <c r="E9" s="129"/>
      <c r="F9" s="129"/>
      <c r="G9" s="119">
        <v>956</v>
      </c>
      <c r="H9" s="119">
        <v>751</v>
      </c>
      <c r="I9" s="119">
        <v>205</v>
      </c>
      <c r="J9" s="129"/>
      <c r="K9" s="129"/>
      <c r="L9" s="128">
        <v>113.5</v>
      </c>
      <c r="M9" s="128">
        <v>80</v>
      </c>
      <c r="N9" s="128">
        <v>5</v>
      </c>
      <c r="O9" s="128">
        <v>8</v>
      </c>
      <c r="P9" s="128">
        <v>85.5</v>
      </c>
      <c r="Q9" s="128">
        <v>52</v>
      </c>
      <c r="R9" s="128">
        <v>74</v>
      </c>
      <c r="S9" s="128">
        <v>45</v>
      </c>
      <c r="T9" s="128">
        <v>23</v>
      </c>
      <c r="U9" s="128">
        <v>20</v>
      </c>
      <c r="V9" s="128">
        <f t="shared" ref="V9:V14" si="0">X9+AQ9</f>
        <v>4388.4347999999991</v>
      </c>
      <c r="W9" s="128">
        <f t="shared" ref="W9:W14" si="1">Y9+AS9</f>
        <v>4338.6598299999996</v>
      </c>
      <c r="X9" s="128">
        <f t="shared" ref="X9:X14" si="2">AA9+AE9+AI9+AM9</f>
        <v>4311.2865999999995</v>
      </c>
      <c r="Y9" s="128">
        <f t="shared" ref="Y9:Y14" si="3">AC9+AG9+AK9+AO9</f>
        <v>4261.51163</v>
      </c>
      <c r="Z9" s="118">
        <v>182538.41</v>
      </c>
      <c r="AA9" s="118">
        <v>900.55739000000005</v>
      </c>
      <c r="AB9" s="118">
        <v>182330</v>
      </c>
      <c r="AC9" s="118">
        <v>985.89985999999999</v>
      </c>
      <c r="AD9" s="118">
        <v>867.9</v>
      </c>
      <c r="AE9" s="118">
        <v>2559.6086</v>
      </c>
      <c r="AF9" s="118">
        <v>791.74</v>
      </c>
      <c r="AG9" s="118">
        <v>2494.21659</v>
      </c>
      <c r="AH9" s="118">
        <v>3110.63</v>
      </c>
      <c r="AI9" s="118">
        <v>614.92114000000004</v>
      </c>
      <c r="AJ9" s="118">
        <v>2640.12</v>
      </c>
      <c r="AK9" s="118">
        <v>571.49833999999998</v>
      </c>
      <c r="AL9" s="118">
        <v>3110.63</v>
      </c>
      <c r="AM9" s="118">
        <v>236.19946999999999</v>
      </c>
      <c r="AN9" s="118">
        <v>2640.12</v>
      </c>
      <c r="AO9" s="118">
        <v>209.89684</v>
      </c>
      <c r="AP9" s="118">
        <v>97.37</v>
      </c>
      <c r="AQ9" s="118">
        <v>77.148200000000003</v>
      </c>
      <c r="AR9" s="118">
        <v>97.37</v>
      </c>
      <c r="AS9" s="118">
        <v>77.148200000000003</v>
      </c>
    </row>
    <row r="10" spans="1:45" s="131" customFormat="1" ht="25.5" x14ac:dyDescent="0.2">
      <c r="A10" s="183" t="s">
        <v>673</v>
      </c>
      <c r="B10" s="169" t="s">
        <v>710</v>
      </c>
      <c r="C10" s="119">
        <v>784</v>
      </c>
      <c r="D10" s="119">
        <v>36</v>
      </c>
      <c r="E10" s="129"/>
      <c r="F10" s="129"/>
      <c r="G10" s="119">
        <v>989</v>
      </c>
      <c r="H10" s="119">
        <v>556</v>
      </c>
      <c r="I10" s="119">
        <v>433</v>
      </c>
      <c r="J10" s="129"/>
      <c r="K10" s="129"/>
      <c r="L10" s="128">
        <v>107.78</v>
      </c>
      <c r="M10" s="128">
        <v>68</v>
      </c>
      <c r="N10" s="128">
        <v>5</v>
      </c>
      <c r="O10" s="128">
        <v>7</v>
      </c>
      <c r="P10" s="128">
        <v>78.78</v>
      </c>
      <c r="Q10" s="128">
        <v>44</v>
      </c>
      <c r="R10" s="128">
        <v>68.78</v>
      </c>
      <c r="S10" s="128">
        <v>39</v>
      </c>
      <c r="T10" s="128">
        <v>24</v>
      </c>
      <c r="U10" s="128">
        <v>17</v>
      </c>
      <c r="V10" s="128">
        <f t="shared" si="0"/>
        <v>5715.67947</v>
      </c>
      <c r="W10" s="128">
        <f t="shared" si="1"/>
        <v>5130.3729199999998</v>
      </c>
      <c r="X10" s="128">
        <f t="shared" si="2"/>
        <v>5625.27747</v>
      </c>
      <c r="Y10" s="128">
        <f t="shared" si="3"/>
        <v>5039.9709199999998</v>
      </c>
      <c r="Z10" s="118">
        <v>129280.41</v>
      </c>
      <c r="AA10" s="118">
        <v>702.49128000000007</v>
      </c>
      <c r="AB10" s="118">
        <v>132118</v>
      </c>
      <c r="AC10" s="118">
        <v>713.04757999999993</v>
      </c>
      <c r="AD10" s="118">
        <v>1291.3800000000001</v>
      </c>
      <c r="AE10" s="118">
        <v>4072.11688</v>
      </c>
      <c r="AF10" s="118">
        <v>1131.24</v>
      </c>
      <c r="AG10" s="118">
        <v>3566.5688500000001</v>
      </c>
      <c r="AH10" s="118">
        <v>2902.23</v>
      </c>
      <c r="AI10" s="118">
        <v>620.02665000000002</v>
      </c>
      <c r="AJ10" s="118">
        <v>2526.33</v>
      </c>
      <c r="AK10" s="118">
        <v>556.98361999999997</v>
      </c>
      <c r="AL10" s="118">
        <v>2902.23</v>
      </c>
      <c r="AM10" s="118">
        <v>230.64266000000001</v>
      </c>
      <c r="AN10" s="118">
        <v>2526.33</v>
      </c>
      <c r="AO10" s="118">
        <v>203.37087</v>
      </c>
      <c r="AP10" s="118">
        <v>115.9</v>
      </c>
      <c r="AQ10" s="118">
        <v>90.402000000000001</v>
      </c>
      <c r="AR10" s="118">
        <v>115.9</v>
      </c>
      <c r="AS10" s="118">
        <v>90.402000000000001</v>
      </c>
    </row>
    <row r="11" spans="1:45" s="131" customFormat="1" ht="25.5" x14ac:dyDescent="0.2">
      <c r="A11" s="123" t="s">
        <v>676</v>
      </c>
      <c r="B11" s="169" t="s">
        <v>710</v>
      </c>
      <c r="C11" s="119">
        <v>784</v>
      </c>
      <c r="D11" s="119">
        <v>27</v>
      </c>
      <c r="E11" s="129"/>
      <c r="F11" s="129"/>
      <c r="G11" s="119">
        <v>620</v>
      </c>
      <c r="H11" s="119">
        <v>504</v>
      </c>
      <c r="I11" s="119">
        <v>116</v>
      </c>
      <c r="J11" s="129"/>
      <c r="K11" s="129"/>
      <c r="L11" s="128">
        <v>104</v>
      </c>
      <c r="M11" s="128">
        <v>61</v>
      </c>
      <c r="N11" s="128">
        <v>5</v>
      </c>
      <c r="O11" s="128">
        <v>6</v>
      </c>
      <c r="P11" s="128">
        <v>75</v>
      </c>
      <c r="Q11" s="128">
        <v>37</v>
      </c>
      <c r="R11" s="128">
        <v>55</v>
      </c>
      <c r="S11" s="128">
        <v>26</v>
      </c>
      <c r="T11" s="128">
        <v>24</v>
      </c>
      <c r="U11" s="128">
        <v>18</v>
      </c>
      <c r="V11" s="128">
        <f t="shared" si="0"/>
        <v>5792.5537410000006</v>
      </c>
      <c r="W11" s="128">
        <f t="shared" si="1"/>
        <v>4865.2009199999993</v>
      </c>
      <c r="X11" s="128">
        <f t="shared" si="2"/>
        <v>5728.827741000001</v>
      </c>
      <c r="Y11" s="128">
        <f t="shared" si="3"/>
        <v>4801.4749199999997</v>
      </c>
      <c r="Z11" s="118">
        <v>116.740014</v>
      </c>
      <c r="AA11" s="118">
        <v>617.4463770000001</v>
      </c>
      <c r="AB11" s="118">
        <v>113524.22500000001</v>
      </c>
      <c r="AC11" s="118">
        <v>594.09986100000003</v>
      </c>
      <c r="AD11" s="118">
        <v>1306.75</v>
      </c>
      <c r="AE11" s="118">
        <v>4122.5050120000005</v>
      </c>
      <c r="AF11" s="118">
        <v>1072.7640000000001</v>
      </c>
      <c r="AG11" s="118">
        <v>3380.154153</v>
      </c>
      <c r="AH11" s="118">
        <v>3727.58</v>
      </c>
      <c r="AI11" s="118">
        <v>692.44813599999998</v>
      </c>
      <c r="AJ11" s="118">
        <v>3290.47</v>
      </c>
      <c r="AK11" s="118">
        <v>564.48416399999996</v>
      </c>
      <c r="AL11" s="118">
        <v>3727.58</v>
      </c>
      <c r="AM11" s="118">
        <v>296.42821600000002</v>
      </c>
      <c r="AN11" s="118">
        <v>3300.47</v>
      </c>
      <c r="AO11" s="118">
        <v>262.73674199999999</v>
      </c>
      <c r="AP11" s="118">
        <v>81.7</v>
      </c>
      <c r="AQ11" s="118">
        <v>63.725999999999999</v>
      </c>
      <c r="AR11" s="118">
        <v>81.7</v>
      </c>
      <c r="AS11" s="118">
        <v>63.725999999999999</v>
      </c>
    </row>
    <row r="12" spans="1:45" s="131" customFormat="1" ht="25.5" x14ac:dyDescent="0.2">
      <c r="A12" s="183" t="s">
        <v>688</v>
      </c>
      <c r="B12" s="169" t="s">
        <v>710</v>
      </c>
      <c r="C12" s="119">
        <v>540</v>
      </c>
      <c r="D12" s="119">
        <v>30</v>
      </c>
      <c r="E12" s="129"/>
      <c r="F12" s="129"/>
      <c r="G12" s="119">
        <v>798</v>
      </c>
      <c r="H12" s="119">
        <v>582</v>
      </c>
      <c r="I12" s="119">
        <v>216</v>
      </c>
      <c r="J12" s="129"/>
      <c r="K12" s="129"/>
      <c r="L12" s="128">
        <v>107.5</v>
      </c>
      <c r="M12" s="128">
        <v>71</v>
      </c>
      <c r="N12" s="128">
        <v>4.5</v>
      </c>
      <c r="O12" s="128">
        <v>5</v>
      </c>
      <c r="P12" s="128">
        <v>75</v>
      </c>
      <c r="Q12" s="128">
        <v>44</v>
      </c>
      <c r="R12" s="128">
        <v>65.5</v>
      </c>
      <c r="S12" s="128">
        <v>42</v>
      </c>
      <c r="T12" s="128">
        <v>28</v>
      </c>
      <c r="U12" s="128">
        <v>22</v>
      </c>
      <c r="V12" s="128">
        <f t="shared" si="0"/>
        <v>10098.951230000001</v>
      </c>
      <c r="W12" s="128">
        <f t="shared" si="1"/>
        <v>8249.0104499999998</v>
      </c>
      <c r="X12" s="128">
        <f t="shared" si="2"/>
        <v>10030.158230000001</v>
      </c>
      <c r="Y12" s="128">
        <f t="shared" si="3"/>
        <v>8180.2174500000001</v>
      </c>
      <c r="Z12" s="118">
        <v>255.78700000000001</v>
      </c>
      <c r="AA12" s="118">
        <v>1409</v>
      </c>
      <c r="AB12" s="118">
        <v>241.23400000000001</v>
      </c>
      <c r="AC12" s="118">
        <v>1315.27378</v>
      </c>
      <c r="AD12" s="118">
        <v>2.1617999999999999</v>
      </c>
      <c r="AE12" s="118">
        <v>6819.9983300000004</v>
      </c>
      <c r="AF12" s="118">
        <v>1.87697</v>
      </c>
      <c r="AG12" s="118">
        <v>5914.3896599999998</v>
      </c>
      <c r="AH12" s="118">
        <v>5.97356</v>
      </c>
      <c r="AI12" s="118">
        <v>1326.3708999999999</v>
      </c>
      <c r="AJ12" s="118">
        <v>3.3204699999999998</v>
      </c>
      <c r="AK12" s="118">
        <v>687.46887000000004</v>
      </c>
      <c r="AL12" s="118">
        <v>5.97356</v>
      </c>
      <c r="AM12" s="118">
        <v>474.78899999999999</v>
      </c>
      <c r="AN12" s="118">
        <v>3.3204699999999998</v>
      </c>
      <c r="AO12" s="118">
        <v>263.08514000000002</v>
      </c>
      <c r="AP12" s="118">
        <v>99.7</v>
      </c>
      <c r="AQ12" s="118">
        <v>68.793000000000006</v>
      </c>
      <c r="AR12" s="118">
        <v>99.7</v>
      </c>
      <c r="AS12" s="118">
        <v>68.793000000000006</v>
      </c>
    </row>
    <row r="13" spans="1:45" s="131" customFormat="1" ht="25.5" x14ac:dyDescent="0.2">
      <c r="A13" s="183" t="s">
        <v>691</v>
      </c>
      <c r="B13" s="169" t="s">
        <v>710</v>
      </c>
      <c r="C13" s="119">
        <v>1176</v>
      </c>
      <c r="D13" s="119">
        <v>41</v>
      </c>
      <c r="E13" s="129"/>
      <c r="F13" s="129"/>
      <c r="G13" s="119">
        <v>1187</v>
      </c>
      <c r="H13" s="119">
        <v>1022</v>
      </c>
      <c r="I13" s="119">
        <v>165</v>
      </c>
      <c r="J13" s="129"/>
      <c r="K13" s="129"/>
      <c r="L13" s="128">
        <v>134.32999999999998</v>
      </c>
      <c r="M13" s="128">
        <v>81</v>
      </c>
      <c r="N13" s="128">
        <v>6</v>
      </c>
      <c r="O13" s="128">
        <v>6</v>
      </c>
      <c r="P13" s="128">
        <v>97.33</v>
      </c>
      <c r="Q13" s="128">
        <v>54</v>
      </c>
      <c r="R13" s="128">
        <v>85.33</v>
      </c>
      <c r="S13" s="128">
        <v>48</v>
      </c>
      <c r="T13" s="128">
        <v>31</v>
      </c>
      <c r="U13" s="128">
        <v>21</v>
      </c>
      <c r="V13" s="128">
        <f>X13+AQ13</f>
        <v>6584.9187199999997</v>
      </c>
      <c r="W13" s="128">
        <f t="shared" si="1"/>
        <v>5903.6963999999998</v>
      </c>
      <c r="X13" s="128">
        <f t="shared" si="2"/>
        <v>6504.3077199999998</v>
      </c>
      <c r="Y13" s="128">
        <f t="shared" si="3"/>
        <v>5823.0841700000001</v>
      </c>
      <c r="Z13" s="118">
        <v>143.93100000000001</v>
      </c>
      <c r="AA13" s="118">
        <v>669.26372000000003</v>
      </c>
      <c r="AB13" s="118">
        <v>182.72800000000001</v>
      </c>
      <c r="AC13" s="118">
        <v>969.73530000000005</v>
      </c>
      <c r="AD13" s="118">
        <v>1500.14</v>
      </c>
      <c r="AE13" s="118">
        <v>4747.5929999999998</v>
      </c>
      <c r="AF13" s="118">
        <v>1253.6500000000001</v>
      </c>
      <c r="AG13" s="118">
        <v>3953.85862</v>
      </c>
      <c r="AH13" s="118">
        <v>3914.52</v>
      </c>
      <c r="AI13" s="118">
        <v>775.57600000000002</v>
      </c>
      <c r="AJ13" s="118">
        <v>3164.84</v>
      </c>
      <c r="AK13" s="118">
        <v>645.12698</v>
      </c>
      <c r="AL13" s="118">
        <v>3914.4</v>
      </c>
      <c r="AM13" s="118">
        <v>311.875</v>
      </c>
      <c r="AN13" s="118">
        <v>3190.77</v>
      </c>
      <c r="AO13" s="118">
        <v>254.36327</v>
      </c>
      <c r="AP13" s="118">
        <v>87.21</v>
      </c>
      <c r="AQ13" s="118">
        <v>80.611000000000004</v>
      </c>
      <c r="AR13" s="118">
        <v>87.21</v>
      </c>
      <c r="AS13" s="118">
        <v>80.612229999999997</v>
      </c>
    </row>
    <row r="14" spans="1:45" s="131" customFormat="1" ht="25.5" x14ac:dyDescent="0.2">
      <c r="A14" s="183" t="s">
        <v>694</v>
      </c>
      <c r="B14" s="169" t="s">
        <v>710</v>
      </c>
      <c r="C14" s="119" t="s">
        <v>647</v>
      </c>
      <c r="D14" s="119">
        <v>11</v>
      </c>
      <c r="E14" s="129"/>
      <c r="F14" s="119">
        <v>25</v>
      </c>
      <c r="G14" s="119">
        <v>112</v>
      </c>
      <c r="H14" s="119">
        <v>112</v>
      </c>
      <c r="I14" s="119"/>
      <c r="J14" s="129"/>
      <c r="K14" s="119">
        <v>25</v>
      </c>
      <c r="L14" s="128">
        <v>99.39</v>
      </c>
      <c r="M14" s="128">
        <v>39</v>
      </c>
      <c r="N14" s="128">
        <v>5</v>
      </c>
      <c r="O14" s="128">
        <v>4</v>
      </c>
      <c r="P14" s="128">
        <v>65.39</v>
      </c>
      <c r="Q14" s="128">
        <v>16</v>
      </c>
      <c r="R14" s="128">
        <v>48.89</v>
      </c>
      <c r="S14" s="128">
        <v>10</v>
      </c>
      <c r="T14" s="128">
        <v>29</v>
      </c>
      <c r="U14" s="128">
        <v>19</v>
      </c>
      <c r="V14" s="128">
        <f t="shared" si="0"/>
        <v>2205.4319999999998</v>
      </c>
      <c r="W14" s="128">
        <f t="shared" si="1"/>
        <v>1495.0993100000001</v>
      </c>
      <c r="X14" s="128">
        <f t="shared" si="2"/>
        <v>2185.9390599999997</v>
      </c>
      <c r="Y14" s="128">
        <f t="shared" si="3"/>
        <v>1475.60637</v>
      </c>
      <c r="Z14" s="118">
        <v>54108.32</v>
      </c>
      <c r="AA14" s="118">
        <v>297.07575000000003</v>
      </c>
      <c r="AB14" s="118">
        <v>58553</v>
      </c>
      <c r="AC14" s="118">
        <v>319.93639000000002</v>
      </c>
      <c r="AD14" s="118">
        <v>346.88</v>
      </c>
      <c r="AE14" s="118">
        <v>1095.6611799999998</v>
      </c>
      <c r="AF14" s="118">
        <v>263.5</v>
      </c>
      <c r="AG14" s="118">
        <v>830.98788999999999</v>
      </c>
      <c r="AH14" s="118">
        <v>3056.4</v>
      </c>
      <c r="AI14" s="118">
        <v>549.78929000000005</v>
      </c>
      <c r="AJ14" s="118">
        <v>1295.02</v>
      </c>
      <c r="AK14" s="118">
        <v>221.04431</v>
      </c>
      <c r="AL14" s="118">
        <v>3056.4</v>
      </c>
      <c r="AM14" s="118">
        <v>243.41283999999999</v>
      </c>
      <c r="AN14" s="118">
        <v>1295.02</v>
      </c>
      <c r="AO14" s="118">
        <v>103.63777999999999</v>
      </c>
      <c r="AP14" s="118">
        <v>24.12</v>
      </c>
      <c r="AQ14" s="118">
        <v>19.492939999999997</v>
      </c>
      <c r="AR14" s="118">
        <v>24.12</v>
      </c>
      <c r="AS14" s="118">
        <v>19.492939999999997</v>
      </c>
    </row>
    <row r="15" spans="1:45" ht="25.5" x14ac:dyDescent="0.25">
      <c r="A15" s="178" t="s">
        <v>857</v>
      </c>
      <c r="B15" s="179" t="s">
        <v>858</v>
      </c>
      <c r="C15" s="171">
        <v>225</v>
      </c>
      <c r="D15" s="171">
        <v>11</v>
      </c>
      <c r="E15" s="171"/>
      <c r="F15" s="171"/>
      <c r="G15" s="171">
        <v>143</v>
      </c>
      <c r="H15" s="171">
        <v>118</v>
      </c>
      <c r="I15" s="171">
        <v>25</v>
      </c>
      <c r="J15" s="171"/>
      <c r="K15" s="171"/>
      <c r="L15" s="171">
        <v>34</v>
      </c>
      <c r="M15" s="171">
        <v>31</v>
      </c>
      <c r="N15" s="180">
        <v>5</v>
      </c>
      <c r="O15" s="171">
        <v>5</v>
      </c>
      <c r="P15" s="181">
        <v>26</v>
      </c>
      <c r="Q15" s="181">
        <v>23</v>
      </c>
      <c r="R15" s="181">
        <v>23</v>
      </c>
      <c r="S15" s="181">
        <v>20</v>
      </c>
      <c r="T15" s="181">
        <v>3</v>
      </c>
      <c r="U15" s="181">
        <v>3</v>
      </c>
      <c r="V15" s="180">
        <f t="shared" ref="V15" si="4">X15+AQ15</f>
        <v>2569.9</v>
      </c>
      <c r="W15" s="180">
        <f>Y15+AS15</f>
        <v>1273.7</v>
      </c>
      <c r="X15" s="180">
        <f t="shared" ref="X15" si="5">AA15+AE15+AI15+AM15</f>
        <v>2555.1</v>
      </c>
      <c r="Y15" s="180">
        <f>AC15+AG15+AK15+AO15</f>
        <v>1258.9000000000001</v>
      </c>
      <c r="Z15" s="181">
        <v>90.6</v>
      </c>
      <c r="AA15" s="181">
        <v>392.3</v>
      </c>
      <c r="AB15" s="181">
        <v>70.599999999999994</v>
      </c>
      <c r="AC15" s="181">
        <v>300.60000000000002</v>
      </c>
      <c r="AD15" s="181">
        <v>642.20000000000005</v>
      </c>
      <c r="AE15" s="181">
        <v>2047.5</v>
      </c>
      <c r="AF15" s="181">
        <v>227.6</v>
      </c>
      <c r="AG15" s="181">
        <v>717.2</v>
      </c>
      <c r="AH15" s="181">
        <f>112.8+265.2</f>
        <v>378</v>
      </c>
      <c r="AI15" s="181">
        <f>39+45.2</f>
        <v>84.2</v>
      </c>
      <c r="AJ15" s="181">
        <v>868</v>
      </c>
      <c r="AK15" s="181">
        <v>172.2</v>
      </c>
      <c r="AL15" s="181">
        <v>378</v>
      </c>
      <c r="AM15" s="181">
        <v>31.1</v>
      </c>
      <c r="AN15" s="181">
        <v>868</v>
      </c>
      <c r="AO15" s="181">
        <v>68.900000000000006</v>
      </c>
      <c r="AP15" s="181">
        <v>18.72</v>
      </c>
      <c r="AQ15" s="181">
        <v>14.8</v>
      </c>
      <c r="AR15" s="181">
        <v>18.72</v>
      </c>
      <c r="AS15" s="181">
        <v>14.8</v>
      </c>
    </row>
  </sheetData>
  <mergeCells count="54">
    <mergeCell ref="E4:E7"/>
    <mergeCell ref="F4:F7"/>
    <mergeCell ref="J4:J7"/>
    <mergeCell ref="K4:K7"/>
    <mergeCell ref="A1:U1"/>
    <mergeCell ref="P4:S4"/>
    <mergeCell ref="H5:I5"/>
    <mergeCell ref="P5:Q5"/>
    <mergeCell ref="R5:S5"/>
    <mergeCell ref="B2:N2"/>
    <mergeCell ref="B3:N3"/>
    <mergeCell ref="G4:I4"/>
    <mergeCell ref="L4:M4"/>
    <mergeCell ref="A4:A7"/>
    <mergeCell ref="B4:B7"/>
    <mergeCell ref="C4:C7"/>
    <mergeCell ref="G5:G7"/>
    <mergeCell ref="H6:H7"/>
    <mergeCell ref="I6:I7"/>
    <mergeCell ref="D4:D7"/>
    <mergeCell ref="T4:U4"/>
    <mergeCell ref="N4:O4"/>
    <mergeCell ref="L5:L7"/>
    <mergeCell ref="M5:M7"/>
    <mergeCell ref="N5:N7"/>
    <mergeCell ref="O5:O7"/>
    <mergeCell ref="P6:P7"/>
    <mergeCell ref="Q6:Q7"/>
    <mergeCell ref="R6:R7"/>
    <mergeCell ref="S6:S7"/>
    <mergeCell ref="T5:T7"/>
    <mergeCell ref="U5:U7"/>
    <mergeCell ref="AP5:AQ5"/>
    <mergeCell ref="AR5:AS5"/>
    <mergeCell ref="AP4:AS4"/>
    <mergeCell ref="AP6:AP7"/>
    <mergeCell ref="AQ6:AQ7"/>
    <mergeCell ref="AR6:AR7"/>
    <mergeCell ref="AS6:AS7"/>
    <mergeCell ref="X4:AO4"/>
    <mergeCell ref="X5:Y6"/>
    <mergeCell ref="V4:W6"/>
    <mergeCell ref="AH5:AK5"/>
    <mergeCell ref="AH6:AI6"/>
    <mergeCell ref="AJ6:AK6"/>
    <mergeCell ref="AL5:AO5"/>
    <mergeCell ref="AL6:AM6"/>
    <mergeCell ref="AN6:AO6"/>
    <mergeCell ref="Z6:AA6"/>
    <mergeCell ref="AB6:AC6"/>
    <mergeCell ref="Z5:AC5"/>
    <mergeCell ref="AD5:AG5"/>
    <mergeCell ref="AD6:AE6"/>
    <mergeCell ref="AF6:AG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00B0F0"/>
  </sheetPr>
  <dimension ref="A1:O14"/>
  <sheetViews>
    <sheetView workbookViewId="0">
      <selection activeCell="F27" sqref="F27"/>
    </sheetView>
  </sheetViews>
  <sheetFormatPr defaultRowHeight="15" x14ac:dyDescent="0.25"/>
  <cols>
    <col min="1" max="1" width="18" customWidth="1"/>
    <col min="2" max="2" width="26.28515625" customWidth="1"/>
    <col min="3" max="8" width="13" customWidth="1"/>
    <col min="9" max="10" width="15.85546875" customWidth="1"/>
  </cols>
  <sheetData>
    <row r="1" spans="1:15" ht="18" customHeight="1" x14ac:dyDescent="0.25">
      <c r="A1" s="266" t="s">
        <v>108</v>
      </c>
      <c r="B1" s="266"/>
      <c r="C1" s="266"/>
      <c r="D1" s="266"/>
      <c r="E1" s="266"/>
      <c r="F1" s="266"/>
      <c r="G1" s="266"/>
      <c r="H1" s="266"/>
      <c r="I1" s="87"/>
      <c r="J1" s="87"/>
      <c r="K1" s="87"/>
      <c r="L1" s="87"/>
      <c r="M1" s="87"/>
      <c r="N1" s="87"/>
      <c r="O1" s="87"/>
    </row>
    <row r="2" spans="1:15" x14ac:dyDescent="0.25">
      <c r="A2" s="89"/>
      <c r="B2" s="260" t="s">
        <v>896</v>
      </c>
      <c r="C2" s="260"/>
      <c r="D2" s="260"/>
      <c r="E2" s="260"/>
      <c r="F2" s="91"/>
      <c r="G2" s="91"/>
      <c r="H2" s="91"/>
      <c r="I2" s="87"/>
      <c r="J2" s="87"/>
      <c r="K2" s="87"/>
      <c r="L2" s="87"/>
      <c r="M2" s="87"/>
      <c r="N2" s="87"/>
      <c r="O2" s="87"/>
    </row>
    <row r="3" spans="1:15" x14ac:dyDescent="0.25">
      <c r="A3" s="84"/>
      <c r="B3" s="260" t="s">
        <v>587</v>
      </c>
      <c r="C3" s="260"/>
      <c r="D3" s="260"/>
      <c r="E3" s="260"/>
      <c r="F3" s="91"/>
      <c r="G3" s="91"/>
      <c r="H3" s="91"/>
      <c r="I3" s="87"/>
      <c r="J3" s="87"/>
      <c r="K3" s="87"/>
      <c r="L3" s="87"/>
      <c r="M3" s="87"/>
      <c r="N3" s="87"/>
      <c r="O3" s="87"/>
    </row>
    <row r="4" spans="1:15" ht="15" customHeight="1" x14ac:dyDescent="0.25">
      <c r="A4" s="290" t="s">
        <v>109</v>
      </c>
      <c r="B4" s="299" t="s">
        <v>561</v>
      </c>
      <c r="C4" s="290" t="s">
        <v>560</v>
      </c>
      <c r="D4" s="290"/>
      <c r="E4" s="290"/>
      <c r="F4" s="290"/>
      <c r="G4" s="290"/>
      <c r="H4" s="290"/>
      <c r="I4" s="300" t="s">
        <v>561</v>
      </c>
      <c r="J4" s="300"/>
      <c r="K4" s="300" t="s">
        <v>564</v>
      </c>
      <c r="L4" s="300"/>
      <c r="M4" s="300"/>
      <c r="N4" s="300" t="s">
        <v>566</v>
      </c>
      <c r="O4" s="300"/>
    </row>
    <row r="5" spans="1:15" x14ac:dyDescent="0.25">
      <c r="A5" s="290"/>
      <c r="B5" s="299"/>
      <c r="C5" s="290" t="s">
        <v>110</v>
      </c>
      <c r="D5" s="290" t="s">
        <v>111</v>
      </c>
      <c r="E5" s="290" t="s">
        <v>112</v>
      </c>
      <c r="F5" s="290" t="s">
        <v>113</v>
      </c>
      <c r="G5" s="290" t="s">
        <v>114</v>
      </c>
      <c r="H5" s="290" t="s">
        <v>115</v>
      </c>
      <c r="I5" s="300"/>
      <c r="J5" s="300"/>
      <c r="K5" s="300"/>
      <c r="L5" s="300"/>
      <c r="M5" s="300"/>
      <c r="N5" s="300"/>
      <c r="O5" s="300"/>
    </row>
    <row r="6" spans="1:15" ht="45" x14ac:dyDescent="0.25">
      <c r="A6" s="290"/>
      <c r="B6" s="299"/>
      <c r="C6" s="290"/>
      <c r="D6" s="290"/>
      <c r="E6" s="290"/>
      <c r="F6" s="290"/>
      <c r="G6" s="290"/>
      <c r="H6" s="290"/>
      <c r="I6" s="301" t="s">
        <v>562</v>
      </c>
      <c r="J6" s="301" t="s">
        <v>563</v>
      </c>
      <c r="K6" s="301" t="s">
        <v>94</v>
      </c>
      <c r="L6" s="301" t="s">
        <v>565</v>
      </c>
      <c r="M6" s="301" t="s">
        <v>464</v>
      </c>
      <c r="N6" s="301" t="s">
        <v>565</v>
      </c>
      <c r="O6" s="301" t="s">
        <v>464</v>
      </c>
    </row>
    <row r="7" spans="1:15" x14ac:dyDescent="0.25">
      <c r="A7" s="123" t="s">
        <v>711</v>
      </c>
      <c r="B7" s="119">
        <v>117</v>
      </c>
      <c r="C7" s="119"/>
      <c r="D7" s="119">
        <v>57</v>
      </c>
      <c r="E7" s="119">
        <v>14</v>
      </c>
      <c r="F7" s="119">
        <v>1</v>
      </c>
      <c r="G7" s="119">
        <v>1</v>
      </c>
      <c r="H7" s="119">
        <v>1</v>
      </c>
      <c r="I7" s="119">
        <v>117</v>
      </c>
      <c r="J7" s="119">
        <v>117</v>
      </c>
      <c r="K7" s="119">
        <v>22</v>
      </c>
      <c r="L7" s="119">
        <v>12</v>
      </c>
      <c r="M7" s="119">
        <v>22</v>
      </c>
      <c r="N7" s="204">
        <v>48.8</v>
      </c>
      <c r="O7" s="204">
        <v>70</v>
      </c>
    </row>
    <row r="8" spans="1:15" ht="38.25" x14ac:dyDescent="0.25">
      <c r="A8" s="123" t="s">
        <v>670</v>
      </c>
      <c r="B8" s="119">
        <v>134</v>
      </c>
      <c r="C8" s="119"/>
      <c r="D8" s="119">
        <v>27</v>
      </c>
      <c r="E8" s="119">
        <v>35</v>
      </c>
      <c r="F8" s="119">
        <v>1</v>
      </c>
      <c r="G8" s="119"/>
      <c r="H8" s="119">
        <v>4</v>
      </c>
      <c r="I8" s="119">
        <v>134</v>
      </c>
      <c r="J8" s="119">
        <v>134</v>
      </c>
      <c r="K8" s="119">
        <v>46</v>
      </c>
      <c r="L8" s="119">
        <v>29</v>
      </c>
      <c r="M8" s="119">
        <v>45</v>
      </c>
      <c r="N8" s="204">
        <v>44.8</v>
      </c>
      <c r="O8" s="204">
        <v>74.5</v>
      </c>
    </row>
    <row r="9" spans="1:15" x14ac:dyDescent="0.25">
      <c r="A9" s="123" t="s">
        <v>673</v>
      </c>
      <c r="B9" s="119">
        <v>109</v>
      </c>
      <c r="C9" s="119"/>
      <c r="D9" s="119">
        <v>58</v>
      </c>
      <c r="E9" s="119">
        <v>10</v>
      </c>
      <c r="F9" s="119">
        <v>1</v>
      </c>
      <c r="G9" s="119"/>
      <c r="H9" s="119"/>
      <c r="I9" s="119">
        <v>109</v>
      </c>
      <c r="J9" s="119">
        <v>109</v>
      </c>
      <c r="K9" s="119">
        <v>28</v>
      </c>
      <c r="L9" s="119">
        <v>9</v>
      </c>
      <c r="M9" s="119">
        <v>22</v>
      </c>
      <c r="N9" s="204">
        <v>52.6</v>
      </c>
      <c r="O9" s="204">
        <v>63.3</v>
      </c>
    </row>
    <row r="10" spans="1:15" x14ac:dyDescent="0.25">
      <c r="A10" s="123" t="s">
        <v>712</v>
      </c>
      <c r="B10" s="119">
        <v>70</v>
      </c>
      <c r="C10" s="119"/>
      <c r="D10" s="119">
        <v>47</v>
      </c>
      <c r="E10" s="119">
        <v>5</v>
      </c>
      <c r="F10" s="119">
        <v>1</v>
      </c>
      <c r="G10" s="119"/>
      <c r="H10" s="119"/>
      <c r="I10" s="119">
        <v>70</v>
      </c>
      <c r="J10" s="119">
        <v>70</v>
      </c>
      <c r="K10" s="119">
        <v>24</v>
      </c>
      <c r="L10" s="119">
        <v>5</v>
      </c>
      <c r="M10" s="119">
        <v>9</v>
      </c>
      <c r="N10" s="204">
        <v>42.8</v>
      </c>
      <c r="O10" s="204">
        <v>62.6</v>
      </c>
    </row>
    <row r="11" spans="1:15" x14ac:dyDescent="0.25">
      <c r="A11" s="123" t="s">
        <v>688</v>
      </c>
      <c r="B11" s="119">
        <v>109</v>
      </c>
      <c r="C11" s="119"/>
      <c r="D11" s="119">
        <v>24</v>
      </c>
      <c r="E11" s="119">
        <v>42</v>
      </c>
      <c r="F11" s="119"/>
      <c r="G11" s="119"/>
      <c r="H11" s="119"/>
      <c r="I11" s="119">
        <v>109</v>
      </c>
      <c r="J11" s="119">
        <v>109</v>
      </c>
      <c r="K11" s="119">
        <v>50</v>
      </c>
      <c r="L11" s="119">
        <v>35</v>
      </c>
      <c r="M11" s="119">
        <v>50</v>
      </c>
      <c r="N11" s="204">
        <v>53.3</v>
      </c>
      <c r="O11" s="204">
        <v>79.099999999999994</v>
      </c>
    </row>
    <row r="12" spans="1:15" x14ac:dyDescent="0.25">
      <c r="A12" s="123" t="s">
        <v>713</v>
      </c>
      <c r="B12" s="119">
        <v>143</v>
      </c>
      <c r="C12" s="119"/>
      <c r="D12" s="119">
        <v>46</v>
      </c>
      <c r="E12" s="119">
        <v>43</v>
      </c>
      <c r="F12" s="119">
        <v>1</v>
      </c>
      <c r="G12" s="119"/>
      <c r="H12" s="119"/>
      <c r="I12" s="119">
        <v>143</v>
      </c>
      <c r="J12" s="119">
        <v>143</v>
      </c>
      <c r="K12" s="119">
        <v>50</v>
      </c>
      <c r="L12" s="119">
        <v>27</v>
      </c>
      <c r="M12" s="119">
        <v>48</v>
      </c>
      <c r="N12" s="204">
        <v>50.4</v>
      </c>
      <c r="O12" s="204">
        <v>70.3</v>
      </c>
    </row>
    <row r="13" spans="1:15" ht="25.5" x14ac:dyDescent="0.25">
      <c r="A13" s="123" t="s">
        <v>694</v>
      </c>
      <c r="B13" s="119">
        <v>11</v>
      </c>
      <c r="C13" s="119"/>
      <c r="D13" s="119"/>
      <c r="E13" s="119"/>
      <c r="F13" s="119"/>
      <c r="G13" s="119"/>
      <c r="H13" s="119">
        <v>11</v>
      </c>
      <c r="I13" s="119"/>
      <c r="J13" s="119">
        <v>11</v>
      </c>
      <c r="K13" s="119"/>
      <c r="L13" s="119"/>
      <c r="M13" s="119"/>
      <c r="N13" s="204"/>
      <c r="O13" s="119"/>
    </row>
    <row r="14" spans="1:15" ht="22.5" x14ac:dyDescent="0.25">
      <c r="A14" s="177" t="s">
        <v>860</v>
      </c>
      <c r="B14" s="228">
        <v>11</v>
      </c>
      <c r="C14" s="228"/>
      <c r="D14" s="214">
        <v>2</v>
      </c>
      <c r="E14" s="214">
        <v>9</v>
      </c>
      <c r="F14" s="228"/>
      <c r="G14" s="228"/>
      <c r="H14" s="228"/>
      <c r="I14" s="214">
        <v>11</v>
      </c>
      <c r="J14" s="214">
        <v>11</v>
      </c>
      <c r="K14" s="214">
        <v>10</v>
      </c>
      <c r="L14" s="214">
        <v>10</v>
      </c>
      <c r="M14" s="214">
        <v>10</v>
      </c>
      <c r="N14" s="214">
        <v>37</v>
      </c>
      <c r="O14" s="214">
        <v>69.5</v>
      </c>
    </row>
  </sheetData>
  <mergeCells count="15">
    <mergeCell ref="A1:H1"/>
    <mergeCell ref="B2:E2"/>
    <mergeCell ref="B3:E3"/>
    <mergeCell ref="N4:O5"/>
    <mergeCell ref="K4:M5"/>
    <mergeCell ref="A4:A6"/>
    <mergeCell ref="C4:H4"/>
    <mergeCell ref="B4:B6"/>
    <mergeCell ref="C5:C6"/>
    <mergeCell ref="D5:D6"/>
    <mergeCell ref="E5:E6"/>
    <mergeCell ref="F5:F6"/>
    <mergeCell ref="G5:G6"/>
    <mergeCell ref="H5:H6"/>
    <mergeCell ref="I4:J5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00B0F0"/>
  </sheetPr>
  <dimension ref="A1:AM8"/>
  <sheetViews>
    <sheetView zoomScale="80" zoomScaleNormal="80" workbookViewId="0">
      <selection activeCell="D16" sqref="D16"/>
    </sheetView>
  </sheetViews>
  <sheetFormatPr defaultRowHeight="15" x14ac:dyDescent="0.25"/>
  <cols>
    <col min="1" max="1" width="17.85546875" customWidth="1"/>
    <col min="2" max="2" width="21.140625" customWidth="1"/>
    <col min="3" max="3" width="12.140625" customWidth="1"/>
    <col min="7" max="7" width="18.85546875" customWidth="1"/>
    <col min="8" max="8" width="11.7109375" customWidth="1"/>
    <col min="9" max="9" width="10.85546875" customWidth="1"/>
    <col min="14" max="14" width="11.140625" customWidth="1"/>
    <col min="15" max="15" width="11" customWidth="1"/>
    <col min="16" max="16" width="10.140625" customWidth="1"/>
    <col min="18" max="18" width="10.140625" customWidth="1"/>
    <col min="22" max="23" width="11.7109375" customWidth="1"/>
    <col min="27" max="27" width="12.85546875" customWidth="1"/>
    <col min="31" max="31" width="10.5703125" customWidth="1"/>
    <col min="35" max="35" width="10.7109375" customWidth="1"/>
  </cols>
  <sheetData>
    <row r="1" spans="1:39" ht="18" customHeight="1" x14ac:dyDescent="0.25">
      <c r="A1" s="254" t="s">
        <v>116</v>
      </c>
      <c r="B1" s="254"/>
      <c r="C1" s="254"/>
      <c r="D1" s="254"/>
      <c r="E1" s="254"/>
      <c r="F1" s="254"/>
      <c r="G1" s="254"/>
      <c r="H1" s="254"/>
      <c r="I1" s="254"/>
      <c r="J1" s="254"/>
      <c r="K1" s="254"/>
      <c r="L1" s="254"/>
      <c r="M1" s="254"/>
      <c r="N1" s="254"/>
      <c r="O1" s="254"/>
    </row>
    <row r="2" spans="1:39" x14ac:dyDescent="0.25">
      <c r="A2" s="17"/>
      <c r="B2" s="253" t="s">
        <v>897</v>
      </c>
      <c r="C2" s="253"/>
      <c r="D2" s="253"/>
      <c r="E2" s="253"/>
      <c r="F2" s="17"/>
      <c r="G2" s="17"/>
      <c r="H2" s="17"/>
      <c r="I2" s="17"/>
      <c r="J2" s="15"/>
      <c r="K2" s="15"/>
      <c r="L2" s="15"/>
      <c r="M2" s="15"/>
      <c r="N2" s="15"/>
      <c r="O2" s="15"/>
    </row>
    <row r="3" spans="1:39" x14ac:dyDescent="0.25">
      <c r="A3" s="18"/>
      <c r="B3" s="253" t="s">
        <v>267</v>
      </c>
      <c r="C3" s="253"/>
      <c r="D3" s="253"/>
      <c r="E3" s="253"/>
      <c r="F3" s="253"/>
      <c r="G3" s="11"/>
      <c r="H3" s="11"/>
      <c r="I3" s="11"/>
      <c r="J3" s="20"/>
      <c r="K3" s="20"/>
      <c r="L3" s="20"/>
      <c r="M3" s="20"/>
      <c r="N3" s="20"/>
      <c r="O3" s="20"/>
    </row>
    <row r="4" spans="1:39" ht="31.5" customHeight="1" x14ac:dyDescent="0.25">
      <c r="A4" s="283" t="s">
        <v>117</v>
      </c>
      <c r="B4" s="302" t="s">
        <v>118</v>
      </c>
      <c r="C4" s="302" t="s">
        <v>119</v>
      </c>
      <c r="D4" s="302" t="s">
        <v>463</v>
      </c>
      <c r="E4" s="302" t="s">
        <v>120</v>
      </c>
      <c r="F4" s="282" t="s">
        <v>100</v>
      </c>
      <c r="G4" s="282"/>
      <c r="H4" s="303" t="s">
        <v>461</v>
      </c>
      <c r="I4" s="304"/>
      <c r="J4" s="282" t="s">
        <v>460</v>
      </c>
      <c r="K4" s="282"/>
      <c r="L4" s="282"/>
      <c r="M4" s="282"/>
      <c r="N4" s="303" t="s">
        <v>462</v>
      </c>
      <c r="O4" s="304"/>
      <c r="P4" s="305" t="s">
        <v>507</v>
      </c>
      <c r="Q4" s="306"/>
      <c r="R4" s="307" t="s">
        <v>497</v>
      </c>
      <c r="S4" s="308"/>
      <c r="T4" s="308"/>
      <c r="U4" s="308"/>
      <c r="V4" s="308"/>
      <c r="W4" s="308"/>
      <c r="X4" s="308"/>
      <c r="Y4" s="308"/>
      <c r="Z4" s="308"/>
      <c r="AA4" s="308"/>
      <c r="AB4" s="308"/>
      <c r="AC4" s="308"/>
      <c r="AD4" s="308"/>
      <c r="AE4" s="308"/>
      <c r="AF4" s="308"/>
      <c r="AG4" s="308"/>
      <c r="AH4" s="308"/>
      <c r="AI4" s="309"/>
      <c r="AJ4" s="307" t="s">
        <v>503</v>
      </c>
      <c r="AK4" s="308"/>
      <c r="AL4" s="308"/>
      <c r="AM4" s="309"/>
    </row>
    <row r="5" spans="1:39" ht="15" customHeight="1" x14ac:dyDescent="0.25">
      <c r="A5" s="283"/>
      <c r="B5" s="283"/>
      <c r="C5" s="283"/>
      <c r="D5" s="283"/>
      <c r="E5" s="283"/>
      <c r="F5" s="302" t="s">
        <v>122</v>
      </c>
      <c r="G5" s="302" t="s">
        <v>103</v>
      </c>
      <c r="H5" s="302" t="s">
        <v>122</v>
      </c>
      <c r="I5" s="302" t="s">
        <v>103</v>
      </c>
      <c r="J5" s="282" t="s">
        <v>123</v>
      </c>
      <c r="K5" s="282"/>
      <c r="L5" s="282" t="s">
        <v>124</v>
      </c>
      <c r="M5" s="282"/>
      <c r="N5" s="302" t="s">
        <v>122</v>
      </c>
      <c r="O5" s="302" t="s">
        <v>103</v>
      </c>
      <c r="P5" s="310"/>
      <c r="Q5" s="311"/>
      <c r="R5" s="305" t="s">
        <v>506</v>
      </c>
      <c r="S5" s="306"/>
      <c r="T5" s="307" t="s">
        <v>495</v>
      </c>
      <c r="U5" s="308"/>
      <c r="V5" s="308"/>
      <c r="W5" s="309"/>
      <c r="X5" s="307" t="s">
        <v>498</v>
      </c>
      <c r="Y5" s="308"/>
      <c r="Z5" s="308"/>
      <c r="AA5" s="309"/>
      <c r="AB5" s="307" t="s">
        <v>505</v>
      </c>
      <c r="AC5" s="308"/>
      <c r="AD5" s="308"/>
      <c r="AE5" s="309"/>
      <c r="AF5" s="307" t="s">
        <v>501</v>
      </c>
      <c r="AG5" s="308"/>
      <c r="AH5" s="308"/>
      <c r="AI5" s="309"/>
      <c r="AJ5" s="307" t="s">
        <v>490</v>
      </c>
      <c r="AK5" s="309"/>
      <c r="AL5" s="307" t="s">
        <v>491</v>
      </c>
      <c r="AM5" s="309"/>
    </row>
    <row r="6" spans="1:39" x14ac:dyDescent="0.25">
      <c r="A6" s="283"/>
      <c r="B6" s="283"/>
      <c r="C6" s="283"/>
      <c r="D6" s="283"/>
      <c r="E6" s="283"/>
      <c r="F6" s="283"/>
      <c r="G6" s="283"/>
      <c r="H6" s="283"/>
      <c r="I6" s="283"/>
      <c r="J6" s="302" t="s">
        <v>122</v>
      </c>
      <c r="K6" s="302" t="s">
        <v>103</v>
      </c>
      <c r="L6" s="302" t="s">
        <v>107</v>
      </c>
      <c r="M6" s="302" t="s">
        <v>103</v>
      </c>
      <c r="N6" s="283"/>
      <c r="O6" s="283"/>
      <c r="P6" s="286"/>
      <c r="Q6" s="288"/>
      <c r="R6" s="310"/>
      <c r="S6" s="311"/>
      <c r="T6" s="307" t="s">
        <v>496</v>
      </c>
      <c r="U6" s="309"/>
      <c r="V6" s="307" t="s">
        <v>491</v>
      </c>
      <c r="W6" s="309"/>
      <c r="X6" s="307" t="s">
        <v>496</v>
      </c>
      <c r="Y6" s="309"/>
      <c r="Z6" s="307" t="s">
        <v>491</v>
      </c>
      <c r="AA6" s="309"/>
      <c r="AB6" s="307" t="s">
        <v>496</v>
      </c>
      <c r="AC6" s="309"/>
      <c r="AD6" s="307" t="s">
        <v>491</v>
      </c>
      <c r="AE6" s="309"/>
      <c r="AF6" s="307" t="s">
        <v>496</v>
      </c>
      <c r="AG6" s="309"/>
      <c r="AH6" s="307" t="s">
        <v>491</v>
      </c>
      <c r="AI6" s="309"/>
      <c r="AJ6" s="312" t="s">
        <v>502</v>
      </c>
      <c r="AK6" s="313" t="s">
        <v>500</v>
      </c>
      <c r="AL6" s="312" t="s">
        <v>502</v>
      </c>
      <c r="AM6" s="313" t="s">
        <v>500</v>
      </c>
    </row>
    <row r="7" spans="1:39" ht="73.5" x14ac:dyDescent="0.25">
      <c r="A7" s="283"/>
      <c r="B7" s="283"/>
      <c r="C7" s="283"/>
      <c r="D7" s="283"/>
      <c r="E7" s="283"/>
      <c r="F7" s="283"/>
      <c r="G7" s="283"/>
      <c r="H7" s="283"/>
      <c r="I7" s="283"/>
      <c r="J7" s="283"/>
      <c r="K7" s="283"/>
      <c r="L7" s="283"/>
      <c r="M7" s="283"/>
      <c r="N7" s="283"/>
      <c r="O7" s="283"/>
      <c r="P7" s="285" t="s">
        <v>490</v>
      </c>
      <c r="Q7" s="285" t="s">
        <v>491</v>
      </c>
      <c r="R7" s="285" t="s">
        <v>490</v>
      </c>
      <c r="S7" s="285" t="s">
        <v>491</v>
      </c>
      <c r="T7" s="314" t="s">
        <v>499</v>
      </c>
      <c r="U7" s="315" t="s">
        <v>500</v>
      </c>
      <c r="V7" s="314" t="s">
        <v>499</v>
      </c>
      <c r="W7" s="315" t="s">
        <v>500</v>
      </c>
      <c r="X7" s="316" t="s">
        <v>504</v>
      </c>
      <c r="Y7" s="315" t="s">
        <v>500</v>
      </c>
      <c r="Z7" s="316" t="s">
        <v>504</v>
      </c>
      <c r="AA7" s="315" t="s">
        <v>500</v>
      </c>
      <c r="AB7" s="314" t="s">
        <v>502</v>
      </c>
      <c r="AC7" s="315" t="s">
        <v>500</v>
      </c>
      <c r="AD7" s="314" t="s">
        <v>502</v>
      </c>
      <c r="AE7" s="315" t="s">
        <v>500</v>
      </c>
      <c r="AF7" s="314" t="s">
        <v>502</v>
      </c>
      <c r="AG7" s="315" t="s">
        <v>500</v>
      </c>
      <c r="AH7" s="314" t="s">
        <v>502</v>
      </c>
      <c r="AI7" s="315" t="s">
        <v>500</v>
      </c>
      <c r="AJ7" s="317"/>
      <c r="AK7" s="318"/>
      <c r="AL7" s="317"/>
      <c r="AM7" s="318"/>
    </row>
    <row r="8" spans="1:39" ht="138.75" customHeight="1" x14ac:dyDescent="0.25">
      <c r="A8" s="186" t="s">
        <v>626</v>
      </c>
      <c r="B8" s="192"/>
      <c r="C8" s="192">
        <v>30</v>
      </c>
      <c r="D8" s="192">
        <v>16</v>
      </c>
      <c r="E8" s="192"/>
      <c r="F8" s="192">
        <v>51</v>
      </c>
      <c r="G8" s="191">
        <v>48</v>
      </c>
      <c r="H8" s="192">
        <v>4</v>
      </c>
      <c r="I8" s="192">
        <v>4</v>
      </c>
      <c r="J8" s="192">
        <v>27</v>
      </c>
      <c r="K8" s="192">
        <v>26.75</v>
      </c>
      <c r="L8" s="192"/>
      <c r="M8" s="192">
        <v>19.75</v>
      </c>
      <c r="N8" s="192">
        <v>15.25</v>
      </c>
      <c r="O8" s="171">
        <v>15</v>
      </c>
      <c r="P8" s="180"/>
      <c r="Q8" s="180"/>
      <c r="R8" s="180"/>
      <c r="S8" s="180"/>
      <c r="T8" s="180"/>
      <c r="U8" s="180"/>
      <c r="V8" s="180">
        <v>43736</v>
      </c>
      <c r="W8" s="180">
        <v>190251.65</v>
      </c>
      <c r="X8" s="180"/>
      <c r="Y8" s="180"/>
      <c r="Z8" s="180">
        <v>411.54</v>
      </c>
      <c r="AA8" s="180">
        <v>1093412.3</v>
      </c>
      <c r="AB8" s="180"/>
      <c r="AC8" s="180"/>
      <c r="AD8" s="180">
        <v>1695.06</v>
      </c>
      <c r="AE8" s="180">
        <v>298738.53999999998</v>
      </c>
      <c r="AF8" s="180"/>
      <c r="AG8" s="180"/>
      <c r="AH8" s="180">
        <v>1695.06</v>
      </c>
      <c r="AI8" s="180">
        <v>116009.9</v>
      </c>
      <c r="AJ8" s="180"/>
      <c r="AK8" s="180"/>
      <c r="AL8" s="180"/>
      <c r="AM8" s="180">
        <v>9983.23</v>
      </c>
    </row>
  </sheetData>
  <mergeCells count="46">
    <mergeCell ref="E4:E7"/>
    <mergeCell ref="F5:F7"/>
    <mergeCell ref="G5:G7"/>
    <mergeCell ref="H5:H7"/>
    <mergeCell ref="K6:K7"/>
    <mergeCell ref="I5:I7"/>
    <mergeCell ref="J6:J7"/>
    <mergeCell ref="L6:L7"/>
    <mergeCell ref="M6:M7"/>
    <mergeCell ref="N5:N7"/>
    <mergeCell ref="A1:O1"/>
    <mergeCell ref="B3:F3"/>
    <mergeCell ref="J4:M4"/>
    <mergeCell ref="B2:E2"/>
    <mergeCell ref="F4:G4"/>
    <mergeCell ref="H4:I4"/>
    <mergeCell ref="N4:O4"/>
    <mergeCell ref="A4:A7"/>
    <mergeCell ref="B4:B7"/>
    <mergeCell ref="C4:C7"/>
    <mergeCell ref="D4:D7"/>
    <mergeCell ref="J5:K5"/>
    <mergeCell ref="L5:M5"/>
    <mergeCell ref="AJ6:AJ7"/>
    <mergeCell ref="AD6:AE6"/>
    <mergeCell ref="AF6:AG6"/>
    <mergeCell ref="AH6:AI6"/>
    <mergeCell ref="AM6:AM7"/>
    <mergeCell ref="AK6:AK7"/>
    <mergeCell ref="AL6:AL7"/>
    <mergeCell ref="P4:Q6"/>
    <mergeCell ref="O5:O7"/>
    <mergeCell ref="R4:AI4"/>
    <mergeCell ref="AJ4:AM4"/>
    <mergeCell ref="T5:W5"/>
    <mergeCell ref="X5:AA5"/>
    <mergeCell ref="AB5:AE5"/>
    <mergeCell ref="R5:S6"/>
    <mergeCell ref="AF5:AI5"/>
    <mergeCell ref="AJ5:AK5"/>
    <mergeCell ref="AL5:AM5"/>
    <mergeCell ref="T6:U6"/>
    <mergeCell ref="V6:W6"/>
    <mergeCell ref="X6:Y6"/>
    <mergeCell ref="Z6:AA6"/>
    <mergeCell ref="AB6:AC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00B0F0"/>
  </sheetPr>
  <dimension ref="A1:AT71"/>
  <sheetViews>
    <sheetView zoomScale="85" zoomScaleNormal="85" workbookViewId="0">
      <selection activeCell="A4" sqref="A4:AT7"/>
    </sheetView>
  </sheetViews>
  <sheetFormatPr defaultRowHeight="15" x14ac:dyDescent="0.25"/>
  <cols>
    <col min="1" max="1" width="34" customWidth="1"/>
    <col min="2" max="2" width="11.42578125" customWidth="1"/>
    <col min="7" max="7" width="9" customWidth="1"/>
    <col min="8" max="8" width="9.5703125" customWidth="1"/>
    <col min="9" max="9" width="7.140625" customWidth="1"/>
    <col min="10" max="10" width="8.5703125" customWidth="1"/>
    <col min="11" max="11" width="7.42578125" customWidth="1"/>
    <col min="12" max="12" width="8.28515625" customWidth="1"/>
    <col min="13" max="13" width="9.85546875" customWidth="1"/>
    <col min="14" max="14" width="5.5703125" bestFit="1" customWidth="1"/>
    <col min="15" max="15" width="9" customWidth="1"/>
    <col min="16" max="16" width="5.7109375" customWidth="1"/>
    <col min="17" max="17" width="14.7109375" customWidth="1"/>
    <col min="18" max="18" width="15.85546875" customWidth="1"/>
    <col min="19" max="19" width="7.140625" customWidth="1"/>
    <col min="23" max="42" width="11.85546875" customWidth="1"/>
    <col min="43" max="43" width="4.28515625" customWidth="1"/>
    <col min="44" max="44" width="5" customWidth="1"/>
    <col min="45" max="45" width="3.7109375" customWidth="1"/>
    <col min="46" max="46" width="5" customWidth="1"/>
  </cols>
  <sheetData>
    <row r="1" spans="1:46" s="87" customFormat="1" ht="18" x14ac:dyDescent="0.25">
      <c r="A1" s="84"/>
      <c r="B1" s="84"/>
      <c r="C1" s="85"/>
      <c r="D1" s="259" t="s">
        <v>60</v>
      </c>
      <c r="E1" s="259"/>
      <c r="F1" s="259"/>
      <c r="G1" s="259"/>
      <c r="H1" s="259"/>
      <c r="I1" s="86"/>
      <c r="J1" s="86"/>
      <c r="K1" s="86"/>
      <c r="L1" s="86"/>
      <c r="M1" s="86"/>
      <c r="N1" s="86"/>
      <c r="O1" s="86"/>
      <c r="P1" s="86"/>
      <c r="Q1" s="86"/>
      <c r="R1" s="86"/>
      <c r="S1" s="85"/>
      <c r="T1" s="85"/>
      <c r="U1" s="85"/>
      <c r="V1" s="85"/>
    </row>
    <row r="2" spans="1:46" s="87" customFormat="1" x14ac:dyDescent="0.25">
      <c r="A2" s="85"/>
      <c r="B2" s="85"/>
      <c r="C2" s="85"/>
      <c r="D2" s="260" t="s">
        <v>896</v>
      </c>
      <c r="E2" s="260" t="s">
        <v>1</v>
      </c>
      <c r="F2" s="260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5"/>
      <c r="T2" s="85"/>
      <c r="U2" s="85"/>
      <c r="V2" s="85"/>
    </row>
    <row r="3" spans="1:46" s="87" customFormat="1" x14ac:dyDescent="0.25">
      <c r="A3" s="84"/>
      <c r="B3" s="84"/>
      <c r="C3" s="84"/>
      <c r="D3" s="260" t="s">
        <v>587</v>
      </c>
      <c r="E3" s="260" t="s">
        <v>25</v>
      </c>
      <c r="F3" s="260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5"/>
      <c r="T3" s="85"/>
      <c r="U3" s="85"/>
      <c r="V3" s="85"/>
    </row>
    <row r="4" spans="1:46" s="87" customFormat="1" ht="33" customHeight="1" x14ac:dyDescent="0.25">
      <c r="A4" s="290" t="s">
        <v>125</v>
      </c>
      <c r="B4" s="290" t="s">
        <v>467</v>
      </c>
      <c r="C4" s="290" t="s">
        <v>126</v>
      </c>
      <c r="D4" s="290"/>
      <c r="E4" s="290" t="s">
        <v>127</v>
      </c>
      <c r="F4" s="290"/>
      <c r="G4" s="290" t="s">
        <v>128</v>
      </c>
      <c r="H4" s="290"/>
      <c r="I4" s="290" t="s">
        <v>458</v>
      </c>
      <c r="J4" s="290"/>
      <c r="K4" s="290" t="s">
        <v>459</v>
      </c>
      <c r="L4" s="290"/>
      <c r="M4" s="290" t="s">
        <v>487</v>
      </c>
      <c r="N4" s="290"/>
      <c r="O4" s="290"/>
      <c r="P4" s="290"/>
      <c r="Q4" s="290" t="s">
        <v>455</v>
      </c>
      <c r="R4" s="290"/>
      <c r="S4" s="290" t="s">
        <v>129</v>
      </c>
      <c r="T4" s="290"/>
      <c r="U4" s="290"/>
      <c r="V4" s="290"/>
      <c r="W4" s="290" t="s">
        <v>507</v>
      </c>
      <c r="X4" s="290"/>
      <c r="Y4" s="319" t="s">
        <v>497</v>
      </c>
      <c r="Z4" s="319"/>
      <c r="AA4" s="319"/>
      <c r="AB4" s="319"/>
      <c r="AC4" s="319"/>
      <c r="AD4" s="319"/>
      <c r="AE4" s="319"/>
      <c r="AF4" s="319"/>
      <c r="AG4" s="319"/>
      <c r="AH4" s="319"/>
      <c r="AI4" s="319"/>
      <c r="AJ4" s="319"/>
      <c r="AK4" s="319"/>
      <c r="AL4" s="319"/>
      <c r="AM4" s="319"/>
      <c r="AN4" s="319"/>
      <c r="AO4" s="319"/>
      <c r="AP4" s="319"/>
      <c r="AQ4" s="291" t="s">
        <v>503</v>
      </c>
      <c r="AR4" s="291"/>
      <c r="AS4" s="291"/>
      <c r="AT4" s="291"/>
    </row>
    <row r="5" spans="1:46" s="87" customFormat="1" x14ac:dyDescent="0.25">
      <c r="A5" s="290"/>
      <c r="B5" s="290"/>
      <c r="C5" s="290" t="s">
        <v>102</v>
      </c>
      <c r="D5" s="290" t="s">
        <v>103</v>
      </c>
      <c r="E5" s="290" t="s">
        <v>102</v>
      </c>
      <c r="F5" s="290" t="s">
        <v>103</v>
      </c>
      <c r="G5" s="290" t="s">
        <v>102</v>
      </c>
      <c r="H5" s="290" t="s">
        <v>103</v>
      </c>
      <c r="I5" s="290" t="s">
        <v>102</v>
      </c>
      <c r="J5" s="290" t="s">
        <v>103</v>
      </c>
      <c r="K5" s="290" t="s">
        <v>102</v>
      </c>
      <c r="L5" s="290" t="s">
        <v>103</v>
      </c>
      <c r="M5" s="290" t="s">
        <v>488</v>
      </c>
      <c r="N5" s="290"/>
      <c r="O5" s="290" t="s">
        <v>489</v>
      </c>
      <c r="P5" s="290"/>
      <c r="Q5" s="290" t="s">
        <v>456</v>
      </c>
      <c r="R5" s="290" t="s">
        <v>457</v>
      </c>
      <c r="S5" s="290" t="s">
        <v>130</v>
      </c>
      <c r="T5" s="290"/>
      <c r="U5" s="290" t="s">
        <v>131</v>
      </c>
      <c r="V5" s="290"/>
      <c r="W5" s="290"/>
      <c r="X5" s="290"/>
      <c r="Y5" s="290" t="s">
        <v>506</v>
      </c>
      <c r="Z5" s="290"/>
      <c r="AA5" s="319" t="s">
        <v>495</v>
      </c>
      <c r="AB5" s="319"/>
      <c r="AC5" s="319"/>
      <c r="AD5" s="319"/>
      <c r="AE5" s="319" t="s">
        <v>498</v>
      </c>
      <c r="AF5" s="319"/>
      <c r="AG5" s="319"/>
      <c r="AH5" s="319"/>
      <c r="AI5" s="319" t="s">
        <v>505</v>
      </c>
      <c r="AJ5" s="319"/>
      <c r="AK5" s="319"/>
      <c r="AL5" s="319"/>
      <c r="AM5" s="319" t="s">
        <v>501</v>
      </c>
      <c r="AN5" s="319"/>
      <c r="AO5" s="319"/>
      <c r="AP5" s="319"/>
      <c r="AQ5" s="319" t="s">
        <v>490</v>
      </c>
      <c r="AR5" s="319"/>
      <c r="AS5" s="319" t="s">
        <v>491</v>
      </c>
      <c r="AT5" s="319"/>
    </row>
    <row r="6" spans="1:46" s="87" customFormat="1" ht="22.5" x14ac:dyDescent="0.25">
      <c r="A6" s="290"/>
      <c r="B6" s="290"/>
      <c r="C6" s="290"/>
      <c r="D6" s="290"/>
      <c r="E6" s="290"/>
      <c r="F6" s="290"/>
      <c r="G6" s="290"/>
      <c r="H6" s="290"/>
      <c r="I6" s="290"/>
      <c r="J6" s="290"/>
      <c r="K6" s="290"/>
      <c r="L6" s="290"/>
      <c r="M6" s="290" t="s">
        <v>490</v>
      </c>
      <c r="N6" s="290" t="s">
        <v>491</v>
      </c>
      <c r="O6" s="290" t="s">
        <v>490</v>
      </c>
      <c r="P6" s="290" t="s">
        <v>491</v>
      </c>
      <c r="Q6" s="290"/>
      <c r="R6" s="290"/>
      <c r="S6" s="292" t="s">
        <v>132</v>
      </c>
      <c r="T6" s="292" t="s">
        <v>133</v>
      </c>
      <c r="U6" s="292" t="s">
        <v>132</v>
      </c>
      <c r="V6" s="292" t="s">
        <v>133</v>
      </c>
      <c r="W6" s="290"/>
      <c r="X6" s="290"/>
      <c r="Y6" s="290"/>
      <c r="Z6" s="290"/>
      <c r="AA6" s="319" t="s">
        <v>496</v>
      </c>
      <c r="AB6" s="319"/>
      <c r="AC6" s="319" t="s">
        <v>491</v>
      </c>
      <c r="AD6" s="319"/>
      <c r="AE6" s="291" t="s">
        <v>496</v>
      </c>
      <c r="AF6" s="291"/>
      <c r="AG6" s="291" t="s">
        <v>491</v>
      </c>
      <c r="AH6" s="291"/>
      <c r="AI6" s="291" t="s">
        <v>496</v>
      </c>
      <c r="AJ6" s="291"/>
      <c r="AK6" s="291" t="s">
        <v>491</v>
      </c>
      <c r="AL6" s="291"/>
      <c r="AM6" s="291" t="s">
        <v>496</v>
      </c>
      <c r="AN6" s="291"/>
      <c r="AO6" s="291" t="s">
        <v>491</v>
      </c>
      <c r="AP6" s="291"/>
      <c r="AQ6" s="291" t="s">
        <v>502</v>
      </c>
      <c r="AR6" s="291" t="s">
        <v>500</v>
      </c>
      <c r="AS6" s="291" t="s">
        <v>502</v>
      </c>
      <c r="AT6" s="291" t="s">
        <v>500</v>
      </c>
    </row>
    <row r="7" spans="1:46" s="87" customFormat="1" ht="63" x14ac:dyDescent="0.25">
      <c r="A7" s="290"/>
      <c r="B7" s="290"/>
      <c r="C7" s="290"/>
      <c r="D7" s="290"/>
      <c r="E7" s="290"/>
      <c r="F7" s="290"/>
      <c r="G7" s="290"/>
      <c r="H7" s="290"/>
      <c r="I7" s="290"/>
      <c r="J7" s="290"/>
      <c r="K7" s="290"/>
      <c r="L7" s="290"/>
      <c r="M7" s="290"/>
      <c r="N7" s="290"/>
      <c r="O7" s="290"/>
      <c r="P7" s="290"/>
      <c r="Q7" s="290"/>
      <c r="R7" s="290"/>
      <c r="S7" s="320"/>
      <c r="T7" s="321"/>
      <c r="U7" s="320"/>
      <c r="V7" s="321"/>
      <c r="W7" s="292" t="s">
        <v>490</v>
      </c>
      <c r="X7" s="292" t="s">
        <v>491</v>
      </c>
      <c r="Y7" s="292" t="s">
        <v>490</v>
      </c>
      <c r="Z7" s="292" t="s">
        <v>491</v>
      </c>
      <c r="AA7" s="293" t="s">
        <v>499</v>
      </c>
      <c r="AB7" s="293" t="s">
        <v>500</v>
      </c>
      <c r="AC7" s="293" t="s">
        <v>499</v>
      </c>
      <c r="AD7" s="293" t="s">
        <v>500</v>
      </c>
      <c r="AE7" s="294" t="s">
        <v>504</v>
      </c>
      <c r="AF7" s="293" t="s">
        <v>500</v>
      </c>
      <c r="AG7" s="294" t="s">
        <v>504</v>
      </c>
      <c r="AH7" s="293" t="s">
        <v>500</v>
      </c>
      <c r="AI7" s="293" t="s">
        <v>502</v>
      </c>
      <c r="AJ7" s="293" t="s">
        <v>500</v>
      </c>
      <c r="AK7" s="293" t="s">
        <v>502</v>
      </c>
      <c r="AL7" s="293" t="s">
        <v>500</v>
      </c>
      <c r="AM7" s="293" t="s">
        <v>502</v>
      </c>
      <c r="AN7" s="293" t="s">
        <v>500</v>
      </c>
      <c r="AO7" s="293" t="s">
        <v>502</v>
      </c>
      <c r="AP7" s="293" t="s">
        <v>500</v>
      </c>
      <c r="AQ7" s="291"/>
      <c r="AR7" s="291"/>
      <c r="AS7" s="291"/>
      <c r="AT7" s="291"/>
    </row>
    <row r="8" spans="1:46" ht="15.75" x14ac:dyDescent="0.25">
      <c r="A8" s="143" t="s">
        <v>749</v>
      </c>
      <c r="B8" s="143" t="s">
        <v>750</v>
      </c>
      <c r="C8" s="144">
        <f>E8+G8+I8+K8</f>
        <v>278.25</v>
      </c>
      <c r="D8" s="144"/>
      <c r="E8" s="144">
        <f>E9+E10+E11+E12+E13+E14+E15+E16+E17+E18+E19+E20+E21</f>
        <v>56.25</v>
      </c>
      <c r="F8" s="144">
        <f t="shared" ref="F8:L8" si="0">F9+F10+F11+F12+F13+F14+F15+F16+F17+F18+F19+F20+F21</f>
        <v>33</v>
      </c>
      <c r="G8" s="144">
        <f t="shared" si="0"/>
        <v>107.5</v>
      </c>
      <c r="H8" s="144">
        <f t="shared" si="0"/>
        <v>77</v>
      </c>
      <c r="I8" s="144">
        <f t="shared" si="0"/>
        <v>84</v>
      </c>
      <c r="J8" s="144">
        <f t="shared" si="0"/>
        <v>60</v>
      </c>
      <c r="K8" s="144">
        <f t="shared" si="0"/>
        <v>30.5</v>
      </c>
      <c r="L8" s="144">
        <f t="shared" si="0"/>
        <v>20.5</v>
      </c>
      <c r="M8" s="145"/>
      <c r="N8" s="145">
        <v>138</v>
      </c>
      <c r="O8" s="145"/>
      <c r="P8" s="145">
        <v>35</v>
      </c>
      <c r="Q8" s="145">
        <v>5594</v>
      </c>
      <c r="R8" s="145">
        <v>5798</v>
      </c>
      <c r="S8" s="146"/>
      <c r="T8" s="147"/>
      <c r="U8" s="146"/>
      <c r="V8" s="147"/>
      <c r="W8" s="148">
        <f>SUM(Y8,AR8)</f>
        <v>25150.09752620447</v>
      </c>
      <c r="X8" s="148">
        <f t="shared" ref="X8" si="1">SUM(Z8,AT8)</f>
        <v>22692.559816199999</v>
      </c>
      <c r="Y8" s="148">
        <f>SUM(AB8,AF8,AJ8,AN8)</f>
        <v>25150.09752620447</v>
      </c>
      <c r="Z8" s="148">
        <f t="shared" ref="Z8" si="2">SUM(AD8,AH8,AL8,AP8)</f>
        <v>22692.559816199999</v>
      </c>
      <c r="AA8" s="148">
        <f>88784+356254</f>
        <v>445038</v>
      </c>
      <c r="AB8" s="148">
        <f>AD8/AC8*AA8</f>
        <v>2156.1829072198548</v>
      </c>
      <c r="AC8" s="148">
        <v>445840</v>
      </c>
      <c r="AD8" s="148">
        <f>2160068.55/1000</f>
        <v>2160.06855</v>
      </c>
      <c r="AE8" s="148">
        <f>616.2+1900</f>
        <v>2516.1999999999998</v>
      </c>
      <c r="AF8" s="148">
        <f>AH8/AG8*AE8</f>
        <v>20122.828772630641</v>
      </c>
      <c r="AG8" s="148">
        <v>2243.75</v>
      </c>
      <c r="AH8" s="148">
        <f>17943961.95/1000</f>
        <v>17943.961950000001</v>
      </c>
      <c r="AI8" s="148">
        <f>1208.4+1654.8+3900+5012.4</f>
        <v>11775.599999999999</v>
      </c>
      <c r="AJ8" s="148">
        <f t="shared" ref="AJ8" si="3">AL8/AK8*AI8</f>
        <v>1961.7740143539756</v>
      </c>
      <c r="AK8" s="148">
        <f>8413.72+2202.99</f>
        <v>10616.71</v>
      </c>
      <c r="AL8" s="148">
        <f>(1000068.11+768638.86)/1000</f>
        <v>1768.70697</v>
      </c>
      <c r="AM8" s="148">
        <f>AI8</f>
        <v>11775.599999999999</v>
      </c>
      <c r="AN8" s="148">
        <f t="shared" ref="AN8" si="4">AP8/AO8*AM8</f>
        <v>909.31183199999987</v>
      </c>
      <c r="AO8" s="148">
        <v>10616.71</v>
      </c>
      <c r="AP8" s="148">
        <f>AO8*77.22/1000</f>
        <v>819.82234619999986</v>
      </c>
      <c r="AQ8" s="136"/>
      <c r="AR8" s="136"/>
      <c r="AS8" s="136"/>
      <c r="AT8" s="136"/>
    </row>
    <row r="9" spans="1:46" ht="15.75" x14ac:dyDescent="0.25">
      <c r="A9" s="149" t="s">
        <v>461</v>
      </c>
      <c r="B9" s="150"/>
      <c r="C9" s="151">
        <f t="shared" ref="C9:C21" si="5">E9+G9+I9+K9</f>
        <v>2</v>
      </c>
      <c r="D9" s="152"/>
      <c r="E9" s="152">
        <v>1</v>
      </c>
      <c r="F9" s="152">
        <v>1</v>
      </c>
      <c r="G9" s="152">
        <v>1</v>
      </c>
      <c r="H9" s="152">
        <v>1</v>
      </c>
      <c r="I9" s="152"/>
      <c r="J9" s="152"/>
      <c r="K9" s="152"/>
      <c r="L9" s="152"/>
      <c r="M9" s="153"/>
      <c r="N9" s="153"/>
      <c r="O9" s="153"/>
      <c r="P9" s="153"/>
      <c r="Q9" s="153"/>
      <c r="R9" s="153"/>
      <c r="S9" s="146"/>
      <c r="T9" s="147"/>
      <c r="U9" s="146"/>
      <c r="V9" s="147"/>
      <c r="W9" s="152"/>
      <c r="X9" s="152"/>
      <c r="Y9" s="152"/>
      <c r="Z9" s="152"/>
      <c r="AA9" s="152"/>
      <c r="AB9" s="152"/>
      <c r="AC9" s="152"/>
      <c r="AD9" s="152"/>
      <c r="AE9" s="152"/>
      <c r="AF9" s="152"/>
      <c r="AG9" s="152"/>
      <c r="AH9" s="152"/>
      <c r="AI9" s="152"/>
      <c r="AJ9" s="152"/>
      <c r="AK9" s="152"/>
      <c r="AL9" s="152"/>
      <c r="AM9" s="152"/>
      <c r="AN9" s="152"/>
      <c r="AO9" s="152"/>
      <c r="AP9" s="152"/>
      <c r="AQ9" s="137"/>
      <c r="AR9" s="137"/>
      <c r="AS9" s="137"/>
      <c r="AT9" s="137"/>
    </row>
    <row r="10" spans="1:46" ht="15.75" x14ac:dyDescent="0.25">
      <c r="A10" s="149" t="s">
        <v>751</v>
      </c>
      <c r="B10" s="150"/>
      <c r="C10" s="151">
        <f t="shared" si="5"/>
        <v>14</v>
      </c>
      <c r="D10" s="152"/>
      <c r="E10" s="152">
        <v>3.5</v>
      </c>
      <c r="F10" s="152">
        <v>2</v>
      </c>
      <c r="G10" s="152">
        <v>3</v>
      </c>
      <c r="H10" s="152">
        <v>1</v>
      </c>
      <c r="I10" s="152">
        <v>0.5</v>
      </c>
      <c r="J10" s="152">
        <v>0</v>
      </c>
      <c r="K10" s="152">
        <v>7</v>
      </c>
      <c r="L10" s="152">
        <v>5</v>
      </c>
      <c r="M10" s="153"/>
      <c r="N10" s="153"/>
      <c r="O10" s="153"/>
      <c r="P10" s="153"/>
      <c r="Q10" s="153"/>
      <c r="R10" s="153"/>
      <c r="S10" s="146"/>
      <c r="T10" s="147"/>
      <c r="U10" s="146"/>
      <c r="V10" s="147"/>
      <c r="W10" s="152"/>
      <c r="X10" s="152"/>
      <c r="Y10" s="152"/>
      <c r="Z10" s="152"/>
      <c r="AA10" s="152"/>
      <c r="AB10" s="152"/>
      <c r="AC10" s="152"/>
      <c r="AD10" s="152"/>
      <c r="AE10" s="152"/>
      <c r="AF10" s="152"/>
      <c r="AG10" s="152"/>
      <c r="AH10" s="152"/>
      <c r="AI10" s="152"/>
      <c r="AJ10" s="152"/>
      <c r="AK10" s="152"/>
      <c r="AL10" s="152"/>
      <c r="AM10" s="152"/>
      <c r="AN10" s="152"/>
      <c r="AO10" s="152"/>
      <c r="AP10" s="152"/>
      <c r="AQ10" s="137"/>
      <c r="AR10" s="137"/>
      <c r="AS10" s="137"/>
      <c r="AT10" s="137"/>
    </row>
    <row r="11" spans="1:46" ht="15.75" x14ac:dyDescent="0.25">
      <c r="A11" s="149" t="s">
        <v>752</v>
      </c>
      <c r="B11" s="150"/>
      <c r="C11" s="151">
        <f t="shared" si="5"/>
        <v>6</v>
      </c>
      <c r="D11" s="152"/>
      <c r="E11" s="152"/>
      <c r="F11" s="152"/>
      <c r="G11" s="152">
        <v>2</v>
      </c>
      <c r="H11" s="152">
        <v>1</v>
      </c>
      <c r="I11" s="152">
        <v>4</v>
      </c>
      <c r="J11" s="152">
        <v>4</v>
      </c>
      <c r="K11" s="152"/>
      <c r="L11" s="152"/>
      <c r="M11" s="153"/>
      <c r="N11" s="153"/>
      <c r="O11" s="153"/>
      <c r="P11" s="153"/>
      <c r="Q11" s="153"/>
      <c r="R11" s="153"/>
      <c r="S11" s="146"/>
      <c r="T11" s="147"/>
      <c r="U11" s="146"/>
      <c r="V11" s="147"/>
      <c r="W11" s="152"/>
      <c r="X11" s="152"/>
      <c r="Y11" s="152"/>
      <c r="Z11" s="152"/>
      <c r="AA11" s="152"/>
      <c r="AB11" s="152"/>
      <c r="AC11" s="152"/>
      <c r="AD11" s="152"/>
      <c r="AE11" s="152"/>
      <c r="AF11" s="152"/>
      <c r="AG11" s="152"/>
      <c r="AH11" s="152"/>
      <c r="AI11" s="152"/>
      <c r="AJ11" s="152"/>
      <c r="AK11" s="152"/>
      <c r="AL11" s="152"/>
      <c r="AM11" s="152"/>
      <c r="AN11" s="152"/>
      <c r="AO11" s="152"/>
      <c r="AP11" s="152"/>
      <c r="AQ11" s="137"/>
      <c r="AR11" s="137"/>
      <c r="AS11" s="137"/>
      <c r="AT11" s="137"/>
    </row>
    <row r="12" spans="1:46" ht="15.75" x14ac:dyDescent="0.25">
      <c r="A12" s="149" t="s">
        <v>753</v>
      </c>
      <c r="B12" s="150"/>
      <c r="C12" s="151">
        <f t="shared" si="5"/>
        <v>25</v>
      </c>
      <c r="D12" s="152"/>
      <c r="E12" s="152">
        <v>6</v>
      </c>
      <c r="F12" s="152">
        <v>4</v>
      </c>
      <c r="G12" s="152">
        <v>13</v>
      </c>
      <c r="H12" s="152">
        <v>8</v>
      </c>
      <c r="I12" s="152">
        <v>6</v>
      </c>
      <c r="J12" s="152">
        <v>5</v>
      </c>
      <c r="K12" s="152"/>
      <c r="L12" s="152"/>
      <c r="M12" s="153"/>
      <c r="N12" s="153"/>
      <c r="O12" s="153"/>
      <c r="P12" s="153"/>
      <c r="Q12" s="153"/>
      <c r="R12" s="153"/>
      <c r="S12" s="146"/>
      <c r="T12" s="147"/>
      <c r="U12" s="146"/>
      <c r="V12" s="147"/>
      <c r="W12" s="152"/>
      <c r="X12" s="152"/>
      <c r="Y12" s="152"/>
      <c r="Z12" s="152"/>
      <c r="AA12" s="152"/>
      <c r="AB12" s="152"/>
      <c r="AC12" s="152"/>
      <c r="AD12" s="152"/>
      <c r="AE12" s="152"/>
      <c r="AF12" s="152"/>
      <c r="AG12" s="152"/>
      <c r="AH12" s="152"/>
      <c r="AI12" s="152"/>
      <c r="AJ12" s="152"/>
      <c r="AK12" s="152"/>
      <c r="AL12" s="152"/>
      <c r="AM12" s="152"/>
      <c r="AN12" s="152"/>
      <c r="AO12" s="152"/>
      <c r="AP12" s="152"/>
      <c r="AQ12" s="137"/>
      <c r="AR12" s="137"/>
      <c r="AS12" s="137"/>
      <c r="AT12" s="137"/>
    </row>
    <row r="13" spans="1:46" ht="15.75" x14ac:dyDescent="0.25">
      <c r="A13" s="149" t="s">
        <v>754</v>
      </c>
      <c r="B13" s="150"/>
      <c r="C13" s="151">
        <f t="shared" si="5"/>
        <v>45</v>
      </c>
      <c r="D13" s="152"/>
      <c r="E13" s="152">
        <v>8</v>
      </c>
      <c r="F13" s="152">
        <v>4</v>
      </c>
      <c r="G13" s="152">
        <v>21.5</v>
      </c>
      <c r="H13" s="152">
        <v>14</v>
      </c>
      <c r="I13" s="152">
        <v>15.5</v>
      </c>
      <c r="J13" s="152">
        <v>11</v>
      </c>
      <c r="K13" s="152"/>
      <c r="L13" s="152"/>
      <c r="M13" s="153"/>
      <c r="N13" s="153"/>
      <c r="O13" s="153"/>
      <c r="P13" s="153"/>
      <c r="Q13" s="153"/>
      <c r="R13" s="153"/>
      <c r="S13" s="146"/>
      <c r="T13" s="147"/>
      <c r="U13" s="146"/>
      <c r="V13" s="147"/>
      <c r="W13" s="152"/>
      <c r="X13" s="152"/>
      <c r="Y13" s="152"/>
      <c r="Z13" s="152"/>
      <c r="AA13" s="152"/>
      <c r="AB13" s="152"/>
      <c r="AC13" s="152"/>
      <c r="AD13" s="152"/>
      <c r="AE13" s="152"/>
      <c r="AF13" s="152"/>
      <c r="AG13" s="152"/>
      <c r="AH13" s="152"/>
      <c r="AI13" s="152"/>
      <c r="AJ13" s="152"/>
      <c r="AK13" s="152"/>
      <c r="AL13" s="152"/>
      <c r="AM13" s="152"/>
      <c r="AN13" s="152"/>
      <c r="AO13" s="152"/>
      <c r="AP13" s="152"/>
      <c r="AQ13" s="137"/>
      <c r="AR13" s="137"/>
      <c r="AS13" s="137"/>
      <c r="AT13" s="137"/>
    </row>
    <row r="14" spans="1:46" ht="15.75" x14ac:dyDescent="0.25">
      <c r="A14" s="149" t="s">
        <v>755</v>
      </c>
      <c r="B14" s="150"/>
      <c r="C14" s="151">
        <f t="shared" si="5"/>
        <v>19.5</v>
      </c>
      <c r="D14" s="152"/>
      <c r="E14" s="152">
        <v>4</v>
      </c>
      <c r="F14" s="152">
        <v>3</v>
      </c>
      <c r="G14" s="152">
        <v>7.5</v>
      </c>
      <c r="H14" s="152">
        <v>7</v>
      </c>
      <c r="I14" s="152">
        <v>8</v>
      </c>
      <c r="J14" s="152">
        <v>6</v>
      </c>
      <c r="K14" s="152"/>
      <c r="L14" s="152"/>
      <c r="M14" s="153"/>
      <c r="N14" s="153"/>
      <c r="O14" s="153"/>
      <c r="P14" s="153"/>
      <c r="Q14" s="153"/>
      <c r="R14" s="153"/>
      <c r="S14" s="146"/>
      <c r="T14" s="147"/>
      <c r="U14" s="146"/>
      <c r="V14" s="147"/>
      <c r="W14" s="152"/>
      <c r="X14" s="152"/>
      <c r="Y14" s="152"/>
      <c r="Z14" s="152"/>
      <c r="AA14" s="152"/>
      <c r="AB14" s="152"/>
      <c r="AC14" s="152"/>
      <c r="AD14" s="152"/>
      <c r="AE14" s="152"/>
      <c r="AF14" s="152"/>
      <c r="AG14" s="152"/>
      <c r="AH14" s="152"/>
      <c r="AI14" s="152"/>
      <c r="AJ14" s="152"/>
      <c r="AK14" s="152"/>
      <c r="AL14" s="152"/>
      <c r="AM14" s="152"/>
      <c r="AN14" s="152"/>
      <c r="AO14" s="152"/>
      <c r="AP14" s="152"/>
      <c r="AQ14" s="137"/>
      <c r="AR14" s="137"/>
      <c r="AS14" s="137"/>
      <c r="AT14" s="137"/>
    </row>
    <row r="15" spans="1:46" ht="15.75" x14ac:dyDescent="0.25">
      <c r="A15" s="149" t="s">
        <v>756</v>
      </c>
      <c r="B15" s="150"/>
      <c r="C15" s="151">
        <f t="shared" si="5"/>
        <v>22</v>
      </c>
      <c r="D15" s="152"/>
      <c r="E15" s="152">
        <v>6</v>
      </c>
      <c r="F15" s="152">
        <v>2</v>
      </c>
      <c r="G15" s="152">
        <v>7</v>
      </c>
      <c r="H15" s="152">
        <v>6</v>
      </c>
      <c r="I15" s="152">
        <v>9</v>
      </c>
      <c r="J15" s="152">
        <v>6</v>
      </c>
      <c r="K15" s="152"/>
      <c r="L15" s="152"/>
      <c r="M15" s="153"/>
      <c r="N15" s="153"/>
      <c r="O15" s="153"/>
      <c r="P15" s="153"/>
      <c r="Q15" s="153"/>
      <c r="R15" s="153"/>
      <c r="S15" s="146"/>
      <c r="T15" s="147"/>
      <c r="U15" s="146"/>
      <c r="V15" s="147"/>
      <c r="W15" s="152"/>
      <c r="X15" s="152"/>
      <c r="Y15" s="152"/>
      <c r="Z15" s="152"/>
      <c r="AA15" s="152"/>
      <c r="AB15" s="152"/>
      <c r="AC15" s="152"/>
      <c r="AD15" s="152"/>
      <c r="AE15" s="152"/>
      <c r="AF15" s="152"/>
      <c r="AG15" s="152"/>
      <c r="AH15" s="152"/>
      <c r="AI15" s="152"/>
      <c r="AJ15" s="152"/>
      <c r="AK15" s="152"/>
      <c r="AL15" s="152"/>
      <c r="AM15" s="152"/>
      <c r="AN15" s="152"/>
      <c r="AO15" s="152"/>
      <c r="AP15" s="152"/>
      <c r="AQ15" s="137"/>
      <c r="AR15" s="137"/>
      <c r="AS15" s="137"/>
      <c r="AT15" s="137"/>
    </row>
    <row r="16" spans="1:46" ht="15.75" x14ac:dyDescent="0.25">
      <c r="A16" s="149" t="s">
        <v>757</v>
      </c>
      <c r="B16" s="150"/>
      <c r="C16" s="151">
        <f t="shared" si="5"/>
        <v>23.5</v>
      </c>
      <c r="D16" s="152"/>
      <c r="E16" s="152">
        <v>5</v>
      </c>
      <c r="F16" s="152">
        <v>4</v>
      </c>
      <c r="G16" s="152">
        <v>11.5</v>
      </c>
      <c r="H16" s="152">
        <v>9</v>
      </c>
      <c r="I16" s="152">
        <v>7</v>
      </c>
      <c r="J16" s="152">
        <v>6</v>
      </c>
      <c r="K16" s="152"/>
      <c r="L16" s="152"/>
      <c r="M16" s="153"/>
      <c r="N16" s="153"/>
      <c r="O16" s="153"/>
      <c r="P16" s="153"/>
      <c r="Q16" s="153"/>
      <c r="R16" s="153"/>
      <c r="S16" s="146"/>
      <c r="T16" s="147"/>
      <c r="U16" s="146"/>
      <c r="V16" s="147"/>
      <c r="W16" s="152"/>
      <c r="X16" s="152"/>
      <c r="Y16" s="152"/>
      <c r="Z16" s="152"/>
      <c r="AA16" s="152"/>
      <c r="AB16" s="152"/>
      <c r="AC16" s="152"/>
      <c r="AD16" s="152"/>
      <c r="AE16" s="152"/>
      <c r="AF16" s="152"/>
      <c r="AG16" s="152"/>
      <c r="AH16" s="152"/>
      <c r="AI16" s="152"/>
      <c r="AJ16" s="152"/>
      <c r="AK16" s="152"/>
      <c r="AL16" s="152"/>
      <c r="AM16" s="152"/>
      <c r="AN16" s="152"/>
      <c r="AO16" s="152"/>
      <c r="AP16" s="152"/>
      <c r="AQ16" s="137"/>
      <c r="AR16" s="137"/>
      <c r="AS16" s="137"/>
      <c r="AT16" s="137"/>
    </row>
    <row r="17" spans="1:46" ht="15.75" x14ac:dyDescent="0.25">
      <c r="A17" s="149" t="s">
        <v>758</v>
      </c>
      <c r="B17" s="150"/>
      <c r="C17" s="151">
        <f t="shared" si="5"/>
        <v>71.25</v>
      </c>
      <c r="D17" s="152"/>
      <c r="E17" s="152">
        <f>15.75+1.5</f>
        <v>17.25</v>
      </c>
      <c r="F17" s="152">
        <v>9</v>
      </c>
      <c r="G17" s="152">
        <v>26.5</v>
      </c>
      <c r="H17" s="152">
        <v>21</v>
      </c>
      <c r="I17" s="152">
        <v>27</v>
      </c>
      <c r="J17" s="152">
        <v>17</v>
      </c>
      <c r="K17" s="152">
        <v>0.5</v>
      </c>
      <c r="L17" s="152">
        <v>0.5</v>
      </c>
      <c r="M17" s="153"/>
      <c r="N17" s="153"/>
      <c r="O17" s="153"/>
      <c r="P17" s="153"/>
      <c r="Q17" s="153"/>
      <c r="R17" s="153"/>
      <c r="S17" s="146"/>
      <c r="T17" s="147"/>
      <c r="U17" s="146"/>
      <c r="V17" s="147"/>
      <c r="W17" s="152"/>
      <c r="X17" s="152"/>
      <c r="Y17" s="152"/>
      <c r="Z17" s="152"/>
      <c r="AA17" s="152"/>
      <c r="AB17" s="152"/>
      <c r="AC17" s="152"/>
      <c r="AD17" s="152"/>
      <c r="AE17" s="152"/>
      <c r="AF17" s="152"/>
      <c r="AG17" s="152"/>
      <c r="AH17" s="152"/>
      <c r="AI17" s="152"/>
      <c r="AJ17" s="152"/>
      <c r="AK17" s="152"/>
      <c r="AL17" s="152"/>
      <c r="AM17" s="152"/>
      <c r="AN17" s="152"/>
      <c r="AO17" s="152"/>
      <c r="AP17" s="152"/>
      <c r="AQ17" s="137"/>
      <c r="AR17" s="137"/>
      <c r="AS17" s="137"/>
      <c r="AT17" s="137"/>
    </row>
    <row r="18" spans="1:46" ht="15.75" x14ac:dyDescent="0.25">
      <c r="A18" s="149" t="s">
        <v>759</v>
      </c>
      <c r="B18" s="150"/>
      <c r="C18" s="151">
        <f t="shared" si="5"/>
        <v>4</v>
      </c>
      <c r="D18" s="152"/>
      <c r="E18" s="152">
        <v>2</v>
      </c>
      <c r="F18" s="152">
        <v>1</v>
      </c>
      <c r="G18" s="152">
        <v>2</v>
      </c>
      <c r="H18" s="152">
        <v>1</v>
      </c>
      <c r="I18" s="152"/>
      <c r="J18" s="152"/>
      <c r="K18" s="152"/>
      <c r="L18" s="152"/>
      <c r="M18" s="153"/>
      <c r="N18" s="153"/>
      <c r="O18" s="153"/>
      <c r="P18" s="153"/>
      <c r="Q18" s="153"/>
      <c r="R18" s="153"/>
      <c r="S18" s="146"/>
      <c r="T18" s="147"/>
      <c r="U18" s="146"/>
      <c r="V18" s="147"/>
      <c r="W18" s="152"/>
      <c r="X18" s="152"/>
      <c r="Y18" s="152"/>
      <c r="Z18" s="152"/>
      <c r="AA18" s="152"/>
      <c r="AB18" s="152"/>
      <c r="AC18" s="152"/>
      <c r="AD18" s="152"/>
      <c r="AE18" s="152"/>
      <c r="AF18" s="152"/>
      <c r="AG18" s="152"/>
      <c r="AH18" s="152"/>
      <c r="AI18" s="152"/>
      <c r="AJ18" s="152"/>
      <c r="AK18" s="152"/>
      <c r="AL18" s="152"/>
      <c r="AM18" s="152"/>
      <c r="AN18" s="152"/>
      <c r="AO18" s="152"/>
      <c r="AP18" s="152"/>
      <c r="AQ18" s="137"/>
      <c r="AR18" s="137"/>
      <c r="AS18" s="137"/>
      <c r="AT18" s="137"/>
    </row>
    <row r="19" spans="1:46" ht="15.75" x14ac:dyDescent="0.25">
      <c r="A19" s="149" t="s">
        <v>760</v>
      </c>
      <c r="B19" s="150"/>
      <c r="C19" s="151">
        <f t="shared" si="5"/>
        <v>18</v>
      </c>
      <c r="D19" s="152"/>
      <c r="E19" s="152">
        <v>1</v>
      </c>
      <c r="F19" s="152">
        <v>1</v>
      </c>
      <c r="G19" s="152">
        <v>6</v>
      </c>
      <c r="H19" s="152">
        <v>4</v>
      </c>
      <c r="I19" s="152">
        <v>5</v>
      </c>
      <c r="J19" s="152">
        <v>3</v>
      </c>
      <c r="K19" s="152">
        <v>6</v>
      </c>
      <c r="L19" s="152">
        <v>3</v>
      </c>
      <c r="M19" s="153"/>
      <c r="N19" s="153"/>
      <c r="O19" s="153"/>
      <c r="P19" s="153"/>
      <c r="Q19" s="153"/>
      <c r="R19" s="153"/>
      <c r="S19" s="146"/>
      <c r="T19" s="147"/>
      <c r="U19" s="146"/>
      <c r="V19" s="147"/>
      <c r="W19" s="152"/>
      <c r="X19" s="152"/>
      <c r="Y19" s="152"/>
      <c r="Z19" s="152"/>
      <c r="AA19" s="152"/>
      <c r="AB19" s="152"/>
      <c r="AC19" s="152"/>
      <c r="AD19" s="152"/>
      <c r="AE19" s="152"/>
      <c r="AF19" s="152"/>
      <c r="AG19" s="152"/>
      <c r="AH19" s="152"/>
      <c r="AI19" s="152"/>
      <c r="AJ19" s="152"/>
      <c r="AK19" s="152"/>
      <c r="AL19" s="152"/>
      <c r="AM19" s="152"/>
      <c r="AN19" s="152"/>
      <c r="AO19" s="152"/>
      <c r="AP19" s="152"/>
      <c r="AQ19" s="137"/>
      <c r="AR19" s="137"/>
      <c r="AS19" s="137"/>
      <c r="AT19" s="137"/>
    </row>
    <row r="20" spans="1:46" ht="15.75" x14ac:dyDescent="0.25">
      <c r="A20" s="149" t="s">
        <v>761</v>
      </c>
      <c r="B20" s="150"/>
      <c r="C20" s="151">
        <f t="shared" si="5"/>
        <v>10.5</v>
      </c>
      <c r="D20" s="152"/>
      <c r="E20" s="152">
        <v>2.5</v>
      </c>
      <c r="F20" s="152">
        <v>2</v>
      </c>
      <c r="G20" s="152">
        <v>5</v>
      </c>
      <c r="H20" s="152">
        <v>3</v>
      </c>
      <c r="I20" s="152">
        <v>2</v>
      </c>
      <c r="J20" s="152">
        <v>2</v>
      </c>
      <c r="K20" s="152">
        <v>1</v>
      </c>
      <c r="L20" s="152"/>
      <c r="M20" s="153"/>
      <c r="N20" s="153"/>
      <c r="O20" s="153"/>
      <c r="P20" s="153"/>
      <c r="Q20" s="153"/>
      <c r="R20" s="153"/>
      <c r="S20" s="146"/>
      <c r="T20" s="147"/>
      <c r="U20" s="146"/>
      <c r="V20" s="147"/>
      <c r="W20" s="152"/>
      <c r="X20" s="152"/>
      <c r="Y20" s="152"/>
      <c r="Z20" s="152"/>
      <c r="AA20" s="152"/>
      <c r="AB20" s="152"/>
      <c r="AC20" s="152"/>
      <c r="AD20" s="152"/>
      <c r="AE20" s="152"/>
      <c r="AF20" s="152"/>
      <c r="AG20" s="152"/>
      <c r="AH20" s="152"/>
      <c r="AI20" s="152"/>
      <c r="AJ20" s="152"/>
      <c r="AK20" s="152"/>
      <c r="AL20" s="152"/>
      <c r="AM20" s="152"/>
      <c r="AN20" s="152"/>
      <c r="AO20" s="152"/>
      <c r="AP20" s="152"/>
      <c r="AQ20" s="137"/>
      <c r="AR20" s="137"/>
      <c r="AS20" s="137"/>
      <c r="AT20" s="137"/>
    </row>
    <row r="21" spans="1:46" ht="15.75" x14ac:dyDescent="0.25">
      <c r="A21" s="149" t="s">
        <v>762</v>
      </c>
      <c r="B21" s="150"/>
      <c r="C21" s="151">
        <f t="shared" si="5"/>
        <v>17.5</v>
      </c>
      <c r="D21" s="152"/>
      <c r="E21" s="152"/>
      <c r="F21" s="152"/>
      <c r="G21" s="152">
        <v>1.5</v>
      </c>
      <c r="H21" s="152">
        <v>1</v>
      </c>
      <c r="I21" s="152"/>
      <c r="J21" s="152"/>
      <c r="K21" s="152">
        <v>16</v>
      </c>
      <c r="L21" s="152">
        <v>12</v>
      </c>
      <c r="M21" s="153"/>
      <c r="N21" s="153"/>
      <c r="O21" s="153"/>
      <c r="P21" s="153"/>
      <c r="Q21" s="153"/>
      <c r="R21" s="153"/>
      <c r="S21" s="146"/>
      <c r="T21" s="147"/>
      <c r="U21" s="146"/>
      <c r="V21" s="147"/>
      <c r="W21" s="154">
        <f t="shared" ref="W21" si="6">SUM(Y21,AR21)</f>
        <v>1292.294777163449</v>
      </c>
      <c r="X21" s="154">
        <f t="shared" ref="X21" si="7">SUM(Z21,AT21)</f>
        <v>983.25724200000013</v>
      </c>
      <c r="Y21" s="154">
        <f t="shared" ref="Y21:Y22" si="8">SUM(AB21,AF21,AJ21,AN21)</f>
        <v>1292.294777163449</v>
      </c>
      <c r="Z21" s="154">
        <f t="shared" ref="Z21:Z22" si="9">SUM(AD21,AH21,AL21,AP21)</f>
        <v>983.25724200000013</v>
      </c>
      <c r="AA21" s="154"/>
      <c r="AB21" s="154"/>
      <c r="AC21" s="154"/>
      <c r="AD21" s="154"/>
      <c r="AE21" s="154">
        <v>200.1</v>
      </c>
      <c r="AF21" s="154">
        <f t="shared" ref="AF21:AF22" si="10">AH21/AG21*AE21</f>
        <v>1011.3766425000001</v>
      </c>
      <c r="AG21" s="154">
        <v>139.19999999999999</v>
      </c>
      <c r="AH21" s="154">
        <f>703566.36/1000</f>
        <v>703.56636000000003</v>
      </c>
      <c r="AI21" s="154">
        <f>366+549.6</f>
        <v>915.6</v>
      </c>
      <c r="AJ21" s="154">
        <f t="shared" ref="AJ21:AJ22" si="11">AL21/AK21*AI21</f>
        <v>210.21550266344889</v>
      </c>
      <c r="AK21" s="154">
        <f>549.6+362</f>
        <v>911.6</v>
      </c>
      <c r="AL21" s="154">
        <f>(82992.64+126304.49)/1000</f>
        <v>209.29713000000001</v>
      </c>
      <c r="AM21" s="154">
        <f t="shared" ref="AM21:AM22" si="12">AI21</f>
        <v>915.6</v>
      </c>
      <c r="AN21" s="154">
        <f t="shared" ref="AN21:AN22" si="13">AP21/AO21*AM21</f>
        <v>70.702632000000008</v>
      </c>
      <c r="AO21" s="154">
        <v>911.6</v>
      </c>
      <c r="AP21" s="154">
        <f>AO21*77.22/1000</f>
        <v>70.393752000000006</v>
      </c>
      <c r="AQ21" s="137"/>
      <c r="AR21" s="137"/>
      <c r="AS21" s="137"/>
      <c r="AT21" s="137"/>
    </row>
    <row r="22" spans="1:46" ht="15.75" x14ac:dyDescent="0.25">
      <c r="A22" s="150" t="s">
        <v>763</v>
      </c>
      <c r="B22" s="150" t="s">
        <v>764</v>
      </c>
      <c r="C22" s="151">
        <f>E22+G22+I22+K22</f>
        <v>76</v>
      </c>
      <c r="D22" s="152"/>
      <c r="E22" s="152">
        <f>8.5+2</f>
        <v>10.5</v>
      </c>
      <c r="F22" s="152">
        <v>3</v>
      </c>
      <c r="G22" s="152">
        <f>31+7</f>
        <v>38</v>
      </c>
      <c r="H22" s="152">
        <v>24</v>
      </c>
      <c r="I22" s="152">
        <f>21.5+6</f>
        <v>27.5</v>
      </c>
      <c r="J22" s="152">
        <v>13</v>
      </c>
      <c r="K22" s="152"/>
      <c r="L22" s="152"/>
      <c r="M22" s="153"/>
      <c r="N22" s="153">
        <v>52</v>
      </c>
      <c r="O22" s="153"/>
      <c r="P22" s="153">
        <v>7</v>
      </c>
      <c r="Q22" s="153">
        <v>2180</v>
      </c>
      <c r="R22" s="153">
        <v>2185</v>
      </c>
      <c r="S22" s="155"/>
      <c r="T22" s="155"/>
      <c r="U22" s="155"/>
      <c r="V22" s="155"/>
      <c r="W22" s="154">
        <f>6436.45+5026.1</f>
        <v>11462.55</v>
      </c>
      <c r="X22" s="154">
        <f>5405.238908+5026</f>
        <v>10431.238907999999</v>
      </c>
      <c r="Y22" s="154">
        <f t="shared" si="8"/>
        <v>6436.4462991454047</v>
      </c>
      <c r="Z22" s="154">
        <f t="shared" si="9"/>
        <v>5405.2389079999994</v>
      </c>
      <c r="AA22" s="154"/>
      <c r="AB22" s="154"/>
      <c r="AC22" s="154"/>
      <c r="AD22" s="154"/>
      <c r="AE22" s="154">
        <v>991.76</v>
      </c>
      <c r="AF22" s="154">
        <f t="shared" si="10"/>
        <v>5012.6768389512099</v>
      </c>
      <c r="AG22" s="154">
        <v>800.16</v>
      </c>
      <c r="AH22" s="154">
        <f>4044268.27/1000</f>
        <v>4044.26827</v>
      </c>
      <c r="AI22" s="154">
        <f>1994.4+2614.8</f>
        <v>4609.2000000000007</v>
      </c>
      <c r="AJ22" s="154">
        <f t="shared" si="11"/>
        <v>1067.8470361941945</v>
      </c>
      <c r="AK22" s="154">
        <f>2613.9+1792</f>
        <v>4405.8999999999996</v>
      </c>
      <c r="AL22" s="154">
        <f>(395504.94+625242.1)/1000</f>
        <v>1020.7470400000001</v>
      </c>
      <c r="AM22" s="154">
        <f t="shared" si="12"/>
        <v>4609.2000000000007</v>
      </c>
      <c r="AN22" s="154">
        <f t="shared" si="13"/>
        <v>355.92242399999998</v>
      </c>
      <c r="AO22" s="154">
        <v>4405.8999999999996</v>
      </c>
      <c r="AP22" s="154">
        <f>AO22*77.22/1000</f>
        <v>340.22359799999992</v>
      </c>
      <c r="AQ22" s="137"/>
      <c r="AR22" s="137"/>
      <c r="AS22" s="137"/>
      <c r="AT22" s="137"/>
    </row>
    <row r="23" spans="1:46" ht="15.75" x14ac:dyDescent="0.25">
      <c r="A23" s="150" t="s">
        <v>762</v>
      </c>
      <c r="B23" s="150"/>
      <c r="C23" s="152">
        <f t="shared" ref="C23:C70" si="14">E23+G23+I23+K23</f>
        <v>0</v>
      </c>
      <c r="D23" s="152"/>
      <c r="E23" s="152"/>
      <c r="F23" s="152"/>
      <c r="G23" s="152"/>
      <c r="H23" s="152"/>
      <c r="I23" s="152"/>
      <c r="J23" s="152"/>
      <c r="K23" s="152"/>
      <c r="L23" s="152"/>
      <c r="M23" s="153"/>
      <c r="N23" s="153"/>
      <c r="O23" s="153"/>
      <c r="P23" s="153"/>
      <c r="Q23" s="153"/>
      <c r="R23" s="153"/>
      <c r="S23" s="155"/>
      <c r="T23" s="155"/>
      <c r="U23" s="155"/>
      <c r="V23" s="155"/>
      <c r="W23" s="152"/>
      <c r="X23" s="152"/>
      <c r="Y23" s="152"/>
      <c r="Z23" s="152"/>
      <c r="AA23" s="152"/>
      <c r="AB23" s="152"/>
      <c r="AC23" s="152"/>
      <c r="AD23" s="152"/>
      <c r="AE23" s="152"/>
      <c r="AF23" s="152"/>
      <c r="AG23" s="152"/>
      <c r="AH23" s="152"/>
      <c r="AI23" s="152"/>
      <c r="AJ23" s="152"/>
      <c r="AK23" s="152"/>
      <c r="AL23" s="152"/>
      <c r="AM23" s="152"/>
      <c r="AN23" s="152"/>
      <c r="AO23" s="152"/>
      <c r="AP23" s="152"/>
      <c r="AQ23" s="137"/>
      <c r="AR23" s="137"/>
      <c r="AS23" s="137"/>
      <c r="AT23" s="137"/>
    </row>
    <row r="24" spans="1:46" ht="15.75" x14ac:dyDescent="0.25">
      <c r="A24" s="150" t="s">
        <v>765</v>
      </c>
      <c r="B24" s="150" t="s">
        <v>745</v>
      </c>
      <c r="C24" s="152">
        <f t="shared" si="14"/>
        <v>77.5</v>
      </c>
      <c r="D24" s="152"/>
      <c r="E24" s="152">
        <v>6.5</v>
      </c>
      <c r="F24" s="152">
        <v>3</v>
      </c>
      <c r="G24" s="152">
        <v>21.5</v>
      </c>
      <c r="H24" s="152">
        <v>15</v>
      </c>
      <c r="I24" s="152">
        <v>10</v>
      </c>
      <c r="J24" s="152">
        <v>8</v>
      </c>
      <c r="K24" s="152">
        <f>21+18.5</f>
        <v>39.5</v>
      </c>
      <c r="L24" s="152">
        <v>25</v>
      </c>
      <c r="M24" s="153"/>
      <c r="N24" s="153"/>
      <c r="O24" s="153"/>
      <c r="P24" s="153"/>
      <c r="Q24" s="153">
        <v>7700</v>
      </c>
      <c r="R24" s="153">
        <v>7382</v>
      </c>
      <c r="S24" s="155"/>
      <c r="T24" s="155"/>
      <c r="U24" s="155"/>
      <c r="V24" s="155"/>
      <c r="W24" s="154">
        <f t="shared" ref="W24:W26" si="15">SUM(Y24,AR24)</f>
        <v>2127.3024716049486</v>
      </c>
      <c r="X24" s="154">
        <f t="shared" ref="X24:X26" si="16">SUM(Z24,AT24)</f>
        <v>2101.7832539999999</v>
      </c>
      <c r="Y24" s="154">
        <f t="shared" ref="Y24:Y26" si="17">SUM(AB24,AF24,AJ24,AN24)</f>
        <v>2127.3024716049486</v>
      </c>
      <c r="Z24" s="154">
        <f t="shared" ref="Z24:Z26" si="18">SUM(AD24,AH24,AL24,AP24)</f>
        <v>2101.7832539999999</v>
      </c>
      <c r="AA24" s="154"/>
      <c r="AB24" s="154"/>
      <c r="AC24" s="154"/>
      <c r="AD24" s="154"/>
      <c r="AE24" s="154">
        <v>344.8</v>
      </c>
      <c r="AF24" s="154">
        <f t="shared" ref="AF24:AF26" si="19">AH24/AG24*AE24</f>
        <v>1742.7419690823531</v>
      </c>
      <c r="AG24" s="154">
        <v>340</v>
      </c>
      <c r="AH24" s="154">
        <f>1718481.06/1000</f>
        <v>1718.4810600000001</v>
      </c>
      <c r="AI24" s="154">
        <f>288+1148.4</f>
        <v>1436.4</v>
      </c>
      <c r="AJ24" s="154">
        <f t="shared" ref="AJ24:AJ26" si="20">AL24/AK24*AI24</f>
        <v>273.64169452259557</v>
      </c>
      <c r="AK24" s="154">
        <f>1147.7+284</f>
        <v>1431.7</v>
      </c>
      <c r="AL24" s="154">
        <f>(173656.61+99089.71)/1000</f>
        <v>272.74632000000003</v>
      </c>
      <c r="AM24" s="154">
        <f t="shared" ref="AM24:AM26" si="21">AI24</f>
        <v>1436.4</v>
      </c>
      <c r="AN24" s="154">
        <f t="shared" ref="AN24:AN26" si="22">AP24/AO24*AM24</f>
        <v>110.918808</v>
      </c>
      <c r="AO24" s="154">
        <v>1431.7</v>
      </c>
      <c r="AP24" s="154">
        <f>AO24*77.22/1000</f>
        <v>110.555874</v>
      </c>
      <c r="AQ24" s="141"/>
      <c r="AR24" s="141"/>
      <c r="AS24" s="137"/>
      <c r="AT24" s="137"/>
    </row>
    <row r="25" spans="1:46" ht="15.75" x14ac:dyDescent="0.25">
      <c r="A25" s="150" t="s">
        <v>766</v>
      </c>
      <c r="B25" s="150" t="s">
        <v>767</v>
      </c>
      <c r="C25" s="152">
        <f t="shared" si="14"/>
        <v>20.5</v>
      </c>
      <c r="D25" s="152"/>
      <c r="E25" s="152">
        <v>6.5</v>
      </c>
      <c r="F25" s="152">
        <v>4</v>
      </c>
      <c r="G25" s="152">
        <v>10</v>
      </c>
      <c r="H25" s="152">
        <v>7</v>
      </c>
      <c r="I25" s="152">
        <v>1</v>
      </c>
      <c r="J25" s="152"/>
      <c r="K25" s="152">
        <v>3</v>
      </c>
      <c r="L25" s="152">
        <v>3</v>
      </c>
      <c r="M25" s="153"/>
      <c r="N25" s="153"/>
      <c r="O25" s="153"/>
      <c r="P25" s="153"/>
      <c r="Q25" s="153">
        <v>13465</v>
      </c>
      <c r="R25" s="153">
        <v>13465</v>
      </c>
      <c r="S25" s="155"/>
      <c r="T25" s="155"/>
      <c r="U25" s="155"/>
      <c r="V25" s="155"/>
      <c r="W25" s="154">
        <f>1831.11+6362.6</f>
        <v>8193.7100000000009</v>
      </c>
      <c r="X25" s="154">
        <f>2199.84+6362.6</f>
        <v>8562.44</v>
      </c>
      <c r="Y25" s="154">
        <f t="shared" si="17"/>
        <v>1831.113312806192</v>
      </c>
      <c r="Z25" s="154">
        <f t="shared" si="18"/>
        <v>2199.844724</v>
      </c>
      <c r="AA25" s="154">
        <v>34803</v>
      </c>
      <c r="AB25" s="154">
        <f t="shared" ref="AB25:AB26" si="23">AD25/AC25*AA25</f>
        <v>168.62798719935796</v>
      </c>
      <c r="AC25" s="154">
        <v>31150</v>
      </c>
      <c r="AD25" s="154">
        <f>150928.42/1000</f>
        <v>150.92842000000002</v>
      </c>
      <c r="AE25" s="154">
        <v>308.10000000000002</v>
      </c>
      <c r="AF25" s="154">
        <f t="shared" si="19"/>
        <v>1557.2470964395832</v>
      </c>
      <c r="AG25" s="154">
        <v>308.11</v>
      </c>
      <c r="AH25" s="154">
        <f>1557297.64/1000</f>
        <v>1557.29764</v>
      </c>
      <c r="AI25" s="154">
        <f>343.2+487.2</f>
        <v>830.4</v>
      </c>
      <c r="AJ25" s="154">
        <f t="shared" si="20"/>
        <v>41.114741167250976</v>
      </c>
      <c r="AK25" s="154">
        <f>487.2+3392</f>
        <v>3879.2</v>
      </c>
      <c r="AL25" s="154">
        <f>(73717.44+118349.4)/1000</f>
        <v>192.06683999999998</v>
      </c>
      <c r="AM25" s="154">
        <f t="shared" si="21"/>
        <v>830.4</v>
      </c>
      <c r="AN25" s="154">
        <f t="shared" si="22"/>
        <v>64.123487999999995</v>
      </c>
      <c r="AO25" s="154">
        <v>3879.2</v>
      </c>
      <c r="AP25" s="154">
        <f>AO25*77.22/1000</f>
        <v>299.55182399999995</v>
      </c>
      <c r="AQ25" s="137"/>
      <c r="AR25" s="137"/>
      <c r="AS25" s="137"/>
      <c r="AT25" s="137"/>
    </row>
    <row r="26" spans="1:46" ht="25.5" x14ac:dyDescent="0.25">
      <c r="A26" s="150" t="s">
        <v>768</v>
      </c>
      <c r="B26" s="150" t="s">
        <v>769</v>
      </c>
      <c r="C26" s="152">
        <f t="shared" si="14"/>
        <v>41.25</v>
      </c>
      <c r="D26" s="152"/>
      <c r="E26" s="152">
        <f>10.5+2</f>
        <v>12.5</v>
      </c>
      <c r="F26" s="152">
        <v>9</v>
      </c>
      <c r="G26" s="152">
        <f>16.25+5</f>
        <v>21.25</v>
      </c>
      <c r="H26" s="152">
        <v>13</v>
      </c>
      <c r="I26" s="152">
        <f>2+1.25</f>
        <v>3.25</v>
      </c>
      <c r="J26" s="152">
        <v>2</v>
      </c>
      <c r="K26" s="152">
        <f>4+0.25</f>
        <v>4.25</v>
      </c>
      <c r="L26" s="152">
        <v>2</v>
      </c>
      <c r="M26" s="153"/>
      <c r="N26" s="153"/>
      <c r="O26" s="153"/>
      <c r="P26" s="153"/>
      <c r="Q26" s="153">
        <v>24498</v>
      </c>
      <c r="R26" s="153">
        <v>24498</v>
      </c>
      <c r="S26" s="155"/>
      <c r="T26" s="155"/>
      <c r="U26" s="155"/>
      <c r="V26" s="155"/>
      <c r="W26" s="154">
        <f t="shared" si="15"/>
        <v>2492.7757571253342</v>
      </c>
      <c r="X26" s="154">
        <f t="shared" si="16"/>
        <v>2554.1800619999995</v>
      </c>
      <c r="Y26" s="154">
        <f t="shared" si="17"/>
        <v>2492.7757571253342</v>
      </c>
      <c r="Z26" s="154">
        <f t="shared" si="18"/>
        <v>2554.1800619999995</v>
      </c>
      <c r="AA26" s="154">
        <v>22522</v>
      </c>
      <c r="AB26" s="154">
        <f t="shared" si="23"/>
        <v>100.8893016851312</v>
      </c>
      <c r="AC26" s="154">
        <v>27440</v>
      </c>
      <c r="AD26" s="154">
        <f>122919.92/1000</f>
        <v>122.91992</v>
      </c>
      <c r="AE26" s="154">
        <v>427.2</v>
      </c>
      <c r="AF26" s="154">
        <f t="shared" si="19"/>
        <v>2159.22091</v>
      </c>
      <c r="AG26" s="154">
        <v>427.2</v>
      </c>
      <c r="AH26" s="154">
        <f>2159220.91/1000</f>
        <v>2159.22091</v>
      </c>
      <c r="AI26" s="154">
        <f>248.4+493.2</f>
        <v>741.6</v>
      </c>
      <c r="AJ26" s="154">
        <f t="shared" si="20"/>
        <v>175.39919344020296</v>
      </c>
      <c r="AK26" s="154">
        <f>493.2+373.9</f>
        <v>867.09999999999991</v>
      </c>
      <c r="AL26" s="154">
        <f>(74625.29+130456.48)/1000</f>
        <v>205.08176999999998</v>
      </c>
      <c r="AM26" s="154">
        <f t="shared" si="21"/>
        <v>741.6</v>
      </c>
      <c r="AN26" s="154">
        <f t="shared" si="22"/>
        <v>57.266351999999991</v>
      </c>
      <c r="AO26" s="154">
        <v>867.1</v>
      </c>
      <c r="AP26" s="154">
        <f>AO26*77.22/1000</f>
        <v>66.957461999999992</v>
      </c>
      <c r="AQ26" s="137"/>
      <c r="AR26" s="137"/>
      <c r="AS26" s="137"/>
      <c r="AT26" s="137"/>
    </row>
    <row r="27" spans="1:46" ht="15.75" x14ac:dyDescent="0.25">
      <c r="A27" s="150" t="s">
        <v>770</v>
      </c>
      <c r="B27" s="150"/>
      <c r="C27" s="152">
        <f t="shared" si="14"/>
        <v>0</v>
      </c>
      <c r="D27" s="152"/>
      <c r="E27" s="152"/>
      <c r="F27" s="152"/>
      <c r="G27" s="152"/>
      <c r="H27" s="152"/>
      <c r="I27" s="152"/>
      <c r="J27" s="152"/>
      <c r="K27" s="152"/>
      <c r="L27" s="152"/>
      <c r="M27" s="153"/>
      <c r="N27" s="153"/>
      <c r="O27" s="153"/>
      <c r="P27" s="153"/>
      <c r="Q27" s="153"/>
      <c r="R27" s="153"/>
      <c r="S27" s="155"/>
      <c r="T27" s="155"/>
      <c r="U27" s="155"/>
      <c r="V27" s="155"/>
      <c r="W27" s="152"/>
      <c r="X27" s="152"/>
      <c r="Y27" s="152"/>
      <c r="Z27" s="152"/>
      <c r="AA27" s="152"/>
      <c r="AB27" s="152"/>
      <c r="AC27" s="152"/>
      <c r="AD27" s="152"/>
      <c r="AE27" s="152"/>
      <c r="AF27" s="152"/>
      <c r="AG27" s="152"/>
      <c r="AH27" s="152"/>
      <c r="AI27" s="152"/>
      <c r="AJ27" s="152"/>
      <c r="AK27" s="152"/>
      <c r="AL27" s="152"/>
      <c r="AM27" s="152"/>
      <c r="AN27" s="152"/>
      <c r="AO27" s="152"/>
      <c r="AP27" s="152"/>
      <c r="AQ27" s="137"/>
      <c r="AR27" s="137"/>
      <c r="AS27" s="137"/>
      <c r="AT27" s="137"/>
    </row>
    <row r="28" spans="1:46" ht="25.5" x14ac:dyDescent="0.25">
      <c r="A28" s="150" t="s">
        <v>771</v>
      </c>
      <c r="B28" s="156"/>
      <c r="C28" s="152">
        <f t="shared" si="14"/>
        <v>6</v>
      </c>
      <c r="D28" s="152"/>
      <c r="E28" s="152">
        <v>1</v>
      </c>
      <c r="F28" s="152">
        <v>1</v>
      </c>
      <c r="G28" s="152">
        <v>3</v>
      </c>
      <c r="H28" s="152">
        <v>1</v>
      </c>
      <c r="I28" s="152">
        <v>2</v>
      </c>
      <c r="J28" s="152">
        <v>1</v>
      </c>
      <c r="K28" s="152"/>
      <c r="L28" s="152"/>
      <c r="M28" s="153"/>
      <c r="N28" s="153"/>
      <c r="O28" s="153"/>
      <c r="P28" s="153"/>
      <c r="Q28" s="153">
        <v>124</v>
      </c>
      <c r="R28" s="153">
        <v>155</v>
      </c>
      <c r="S28" s="155"/>
      <c r="T28" s="155"/>
      <c r="U28" s="155"/>
      <c r="V28" s="155"/>
      <c r="W28" s="154">
        <f t="shared" ref="W28:W29" si="24">SUM(Y28,AR28)</f>
        <v>2047.5303598292433</v>
      </c>
      <c r="X28" s="154">
        <f t="shared" ref="X28:X29" si="25">SUM(Z28,AT28)</f>
        <v>1832.7848739999999</v>
      </c>
      <c r="Y28" s="154">
        <f t="shared" ref="Y28:Y29" si="26">SUM(AB28,AF28,AJ28,AN28)</f>
        <v>2047.5303598292433</v>
      </c>
      <c r="Z28" s="154">
        <f t="shared" ref="Z28:Z29" si="27">SUM(AD28,AH28,AL28,AP28)</f>
        <v>1832.7848739999999</v>
      </c>
      <c r="AA28" s="154">
        <v>83444</v>
      </c>
      <c r="AB28" s="154">
        <f t="shared" ref="AB28:AB29" si="28">AD28/AC28*AA28</f>
        <v>404.27809582924328</v>
      </c>
      <c r="AC28" s="154">
        <v>39120</v>
      </c>
      <c r="AD28" s="154">
        <f>189532.61/1000</f>
        <v>189.53260999999998</v>
      </c>
      <c r="AE28" s="154">
        <v>308.11</v>
      </c>
      <c r="AF28" s="154">
        <f t="shared" ref="AF28:AF29" si="29">AH28/AG28*AE28</f>
        <v>1512.26333</v>
      </c>
      <c r="AG28" s="154">
        <v>308.11</v>
      </c>
      <c r="AH28" s="154">
        <f>1512263.33/1000</f>
        <v>1512.26333</v>
      </c>
      <c r="AI28" s="154">
        <v>463.2</v>
      </c>
      <c r="AJ28" s="154">
        <f t="shared" ref="AJ28:AJ29" si="30">AL28/AK28*AI28</f>
        <v>95.22063</v>
      </c>
      <c r="AK28" s="154">
        <f>336+127.2</f>
        <v>463.2</v>
      </c>
      <c r="AL28" s="154">
        <f>(50839.61+44381.02)/1000</f>
        <v>95.22063</v>
      </c>
      <c r="AM28" s="154">
        <f t="shared" ref="AM28:AM29" si="31">AI28</f>
        <v>463.2</v>
      </c>
      <c r="AN28" s="154">
        <f t="shared" ref="AN28:AN29" si="32">AP28/AO28*AM28</f>
        <v>35.768303999999993</v>
      </c>
      <c r="AO28" s="154">
        <v>463.2</v>
      </c>
      <c r="AP28" s="154">
        <f>AO28*77.22/1000</f>
        <v>35.768303999999993</v>
      </c>
      <c r="AQ28" s="137"/>
      <c r="AR28" s="137"/>
      <c r="AS28" s="137"/>
      <c r="AT28" s="137"/>
    </row>
    <row r="29" spans="1:46" ht="15.75" x14ac:dyDescent="0.25">
      <c r="A29" s="150" t="s">
        <v>772</v>
      </c>
      <c r="B29" s="150"/>
      <c r="C29" s="152">
        <f t="shared" si="14"/>
        <v>21</v>
      </c>
      <c r="D29" s="152"/>
      <c r="E29" s="152">
        <f>E30+E31</f>
        <v>5</v>
      </c>
      <c r="F29" s="152">
        <f>F30+F31</f>
        <v>3</v>
      </c>
      <c r="G29" s="152">
        <f>G30+G31</f>
        <v>11</v>
      </c>
      <c r="H29" s="152">
        <f>H30+H31</f>
        <v>8</v>
      </c>
      <c r="I29" s="152">
        <f>I30+I31</f>
        <v>5</v>
      </c>
      <c r="J29" s="152">
        <f t="shared" ref="J29:L29" si="33">J30+J31</f>
        <v>5</v>
      </c>
      <c r="K29" s="152">
        <f t="shared" si="33"/>
        <v>0</v>
      </c>
      <c r="L29" s="152">
        <f t="shared" si="33"/>
        <v>0</v>
      </c>
      <c r="M29" s="153"/>
      <c r="N29" s="153"/>
      <c r="O29" s="153"/>
      <c r="P29" s="153"/>
      <c r="Q29" s="153"/>
      <c r="R29" s="153"/>
      <c r="S29" s="155"/>
      <c r="T29" s="155"/>
      <c r="U29" s="155"/>
      <c r="V29" s="155"/>
      <c r="W29" s="154">
        <f t="shared" si="24"/>
        <v>2698.6996546930891</v>
      </c>
      <c r="X29" s="154">
        <f t="shared" si="25"/>
        <v>2633.2495320000003</v>
      </c>
      <c r="Y29" s="154">
        <f t="shared" si="26"/>
        <v>2698.6996546930891</v>
      </c>
      <c r="Z29" s="154">
        <f t="shared" si="27"/>
        <v>2633.2495320000003</v>
      </c>
      <c r="AA29" s="154">
        <v>88710</v>
      </c>
      <c r="AB29" s="154">
        <f t="shared" si="28"/>
        <v>429.81414877602447</v>
      </c>
      <c r="AC29" s="154">
        <v>75410</v>
      </c>
      <c r="AD29" s="154">
        <f>365373.52/1000</f>
        <v>365.37352000000004</v>
      </c>
      <c r="AE29" s="154">
        <v>314.8</v>
      </c>
      <c r="AF29" s="154">
        <f t="shared" si="29"/>
        <v>1591.1112900000001</v>
      </c>
      <c r="AG29" s="154">
        <v>314.8</v>
      </c>
      <c r="AH29" s="154">
        <f>1591111.29/1000</f>
        <v>1591.1112900000001</v>
      </c>
      <c r="AI29" s="154">
        <f>327.6+2358</f>
        <v>2685.6</v>
      </c>
      <c r="AJ29" s="154">
        <f t="shared" si="30"/>
        <v>470.39218391706447</v>
      </c>
      <c r="AK29" s="154">
        <f>2358+323.6</f>
        <v>2681.6</v>
      </c>
      <c r="AL29" s="154">
        <f>(356785.13+112906.44)/1000</f>
        <v>469.69157000000001</v>
      </c>
      <c r="AM29" s="154">
        <f t="shared" si="31"/>
        <v>2685.6</v>
      </c>
      <c r="AN29" s="154">
        <f t="shared" si="32"/>
        <v>207.38203199999998</v>
      </c>
      <c r="AO29" s="154">
        <v>2681.6</v>
      </c>
      <c r="AP29" s="154">
        <f>AO29*77.22/1000</f>
        <v>207.07315199999999</v>
      </c>
      <c r="AQ29" s="137"/>
      <c r="AR29" s="137"/>
      <c r="AS29" s="137"/>
      <c r="AT29" s="137"/>
    </row>
    <row r="30" spans="1:46" ht="15.75" x14ac:dyDescent="0.25">
      <c r="A30" s="149" t="s">
        <v>773</v>
      </c>
      <c r="B30" s="150"/>
      <c r="C30" s="152">
        <f t="shared" si="14"/>
        <v>12</v>
      </c>
      <c r="D30" s="152"/>
      <c r="E30" s="152">
        <v>3</v>
      </c>
      <c r="F30" s="152">
        <v>2</v>
      </c>
      <c r="G30" s="152">
        <v>6</v>
      </c>
      <c r="H30" s="152">
        <v>4</v>
      </c>
      <c r="I30" s="152">
        <v>3</v>
      </c>
      <c r="J30" s="152">
        <v>3</v>
      </c>
      <c r="K30" s="152"/>
      <c r="L30" s="152"/>
      <c r="M30" s="153"/>
      <c r="N30" s="153"/>
      <c r="O30" s="153"/>
      <c r="P30" s="153"/>
      <c r="Q30" s="153"/>
      <c r="R30" s="153"/>
      <c r="S30" s="155"/>
      <c r="T30" s="155"/>
      <c r="U30" s="155"/>
      <c r="V30" s="155"/>
      <c r="W30" s="152"/>
      <c r="X30" s="152"/>
      <c r="Y30" s="152"/>
      <c r="Z30" s="152"/>
      <c r="AA30" s="152"/>
      <c r="AB30" s="152"/>
      <c r="AC30" s="152"/>
      <c r="AD30" s="152"/>
      <c r="AE30" s="152"/>
      <c r="AF30" s="152"/>
      <c r="AG30" s="152"/>
      <c r="AH30" s="152"/>
      <c r="AI30" s="152"/>
      <c r="AJ30" s="152"/>
      <c r="AK30" s="152"/>
      <c r="AL30" s="152"/>
      <c r="AM30" s="152"/>
      <c r="AN30" s="152"/>
      <c r="AO30" s="152"/>
      <c r="AP30" s="152"/>
      <c r="AQ30" s="137"/>
      <c r="AR30" s="137"/>
      <c r="AS30" s="137"/>
      <c r="AT30" s="137"/>
    </row>
    <row r="31" spans="1:46" ht="15.75" x14ac:dyDescent="0.25">
      <c r="A31" s="149" t="s">
        <v>774</v>
      </c>
      <c r="B31" s="150"/>
      <c r="C31" s="152">
        <f t="shared" si="14"/>
        <v>9</v>
      </c>
      <c r="D31" s="152"/>
      <c r="E31" s="152">
        <v>2</v>
      </c>
      <c r="F31" s="152">
        <v>1</v>
      </c>
      <c r="G31" s="152">
        <v>5</v>
      </c>
      <c r="H31" s="152">
        <v>4</v>
      </c>
      <c r="I31" s="152">
        <v>2</v>
      </c>
      <c r="J31" s="152">
        <v>2</v>
      </c>
      <c r="K31" s="152"/>
      <c r="L31" s="152"/>
      <c r="M31" s="153"/>
      <c r="N31" s="153"/>
      <c r="O31" s="153"/>
      <c r="P31" s="153"/>
      <c r="Q31" s="153"/>
      <c r="R31" s="153"/>
      <c r="S31" s="155"/>
      <c r="T31" s="155"/>
      <c r="U31" s="155"/>
      <c r="V31" s="155"/>
      <c r="W31" s="152"/>
      <c r="X31" s="152"/>
      <c r="Y31" s="152"/>
      <c r="Z31" s="152"/>
      <c r="AA31" s="152"/>
      <c r="AB31" s="152"/>
      <c r="AC31" s="152"/>
      <c r="AD31" s="152"/>
      <c r="AE31" s="152"/>
      <c r="AF31" s="152"/>
      <c r="AG31" s="152"/>
      <c r="AH31" s="152"/>
      <c r="AI31" s="152"/>
      <c r="AJ31" s="152"/>
      <c r="AK31" s="152"/>
      <c r="AL31" s="152"/>
      <c r="AM31" s="152"/>
      <c r="AN31" s="152"/>
      <c r="AO31" s="152"/>
      <c r="AP31" s="152"/>
      <c r="AQ31" s="137"/>
      <c r="AR31" s="137"/>
      <c r="AS31" s="137"/>
      <c r="AT31" s="137"/>
    </row>
    <row r="32" spans="1:46" ht="15.75" x14ac:dyDescent="0.25">
      <c r="A32" s="143" t="s">
        <v>775</v>
      </c>
      <c r="B32" s="143" t="s">
        <v>776</v>
      </c>
      <c r="C32" s="144">
        <f t="shared" si="14"/>
        <v>284</v>
      </c>
      <c r="D32" s="144"/>
      <c r="E32" s="144">
        <f t="shared" ref="E32:L32" si="34">E33+E34+E35+E36+E37+E38+E39+E40+E41+E42</f>
        <v>84.5</v>
      </c>
      <c r="F32" s="144">
        <f t="shared" si="34"/>
        <v>58</v>
      </c>
      <c r="G32" s="144">
        <f t="shared" si="34"/>
        <v>127</v>
      </c>
      <c r="H32" s="144">
        <f t="shared" si="34"/>
        <v>100</v>
      </c>
      <c r="I32" s="144">
        <f t="shared" si="34"/>
        <v>15</v>
      </c>
      <c r="J32" s="144">
        <f t="shared" si="34"/>
        <v>10</v>
      </c>
      <c r="K32" s="144">
        <f t="shared" si="34"/>
        <v>57.5</v>
      </c>
      <c r="L32" s="144">
        <f t="shared" si="34"/>
        <v>45</v>
      </c>
      <c r="M32" s="145"/>
      <c r="N32" s="145"/>
      <c r="O32" s="145"/>
      <c r="P32" s="145"/>
      <c r="Q32" s="145">
        <v>135261</v>
      </c>
      <c r="R32" s="145">
        <v>139598</v>
      </c>
      <c r="S32" s="155"/>
      <c r="T32" s="155"/>
      <c r="U32" s="155"/>
      <c r="V32" s="155"/>
      <c r="W32" s="154">
        <f t="shared" ref="W32" si="35">SUM(Y32,AR32)</f>
        <v>12817.421657500403</v>
      </c>
      <c r="X32" s="154">
        <f t="shared" ref="X32" si="36">SUM(Z32,AT32)</f>
        <v>7713.1735864000002</v>
      </c>
      <c r="Y32" s="154">
        <f t="shared" ref="Y32" si="37">SUM(AB32,AF32,AJ32,AN32)</f>
        <v>12817.421657500403</v>
      </c>
      <c r="Z32" s="154">
        <f t="shared" ref="Z32" si="38">SUM(AD32,AH32,AL32,AP32)</f>
        <v>7713.1735864000002</v>
      </c>
      <c r="AA32" s="154">
        <v>169454</v>
      </c>
      <c r="AB32" s="154">
        <f t="shared" ref="AB32" si="39">AD32/AC32*AA32</f>
        <v>820.98820365969357</v>
      </c>
      <c r="AC32" s="154">
        <v>160620</v>
      </c>
      <c r="AD32" s="154">
        <f>778188.33/1000</f>
        <v>778.18832999999995</v>
      </c>
      <c r="AE32" s="154">
        <v>1838.2</v>
      </c>
      <c r="AF32" s="154">
        <f t="shared" ref="AF32" si="40">AH32/AG32*AE32</f>
        <v>9290.9267725537011</v>
      </c>
      <c r="AG32" s="154">
        <v>980.46</v>
      </c>
      <c r="AH32" s="154">
        <f>4955598.99/1000</f>
        <v>4955.5989900000004</v>
      </c>
      <c r="AI32" s="154">
        <f>2786.4+6763.2</f>
        <v>9549.6</v>
      </c>
      <c r="AJ32" s="154">
        <f t="shared" ref="AJ32" si="41">AL32/AK32*AI32</f>
        <v>1968.0865692870086</v>
      </c>
      <c r="AK32" s="154">
        <f>5049.64+1936.98</f>
        <v>6986.6200000000008</v>
      </c>
      <c r="AL32" s="154">
        <f>(764052.78+675826.69)/1000</f>
        <v>1439.8794700000001</v>
      </c>
      <c r="AM32" s="154">
        <f t="shared" ref="AM32" si="42">AI32</f>
        <v>9549.6</v>
      </c>
      <c r="AN32" s="154">
        <f t="shared" ref="AN32" si="43">AP32/AO32*AM32</f>
        <v>737.42011200000002</v>
      </c>
      <c r="AO32" s="154">
        <v>6986.62</v>
      </c>
      <c r="AP32" s="154">
        <f>AO32*77.22/1000</f>
        <v>539.50679639999998</v>
      </c>
      <c r="AQ32" s="136"/>
      <c r="AR32" s="136"/>
      <c r="AS32" s="136"/>
      <c r="AT32" s="136"/>
    </row>
    <row r="33" spans="1:46" ht="15.75" x14ac:dyDescent="0.25">
      <c r="A33" s="149" t="s">
        <v>777</v>
      </c>
      <c r="B33" s="150"/>
      <c r="C33" s="151">
        <f t="shared" si="14"/>
        <v>128.5</v>
      </c>
      <c r="D33" s="152"/>
      <c r="E33" s="152">
        <f>37.5+1</f>
        <v>38.5</v>
      </c>
      <c r="F33" s="152">
        <v>34</v>
      </c>
      <c r="G33" s="152">
        <f>56.5+1</f>
        <v>57.5</v>
      </c>
      <c r="H33" s="152">
        <v>55</v>
      </c>
      <c r="I33" s="152">
        <v>6</v>
      </c>
      <c r="J33" s="152">
        <v>6</v>
      </c>
      <c r="K33" s="152">
        <v>26.5</v>
      </c>
      <c r="L33" s="152">
        <v>25</v>
      </c>
      <c r="M33" s="153"/>
      <c r="N33" s="153"/>
      <c r="O33" s="153"/>
      <c r="P33" s="153"/>
      <c r="Q33" s="153"/>
      <c r="R33" s="153"/>
      <c r="S33" s="155"/>
      <c r="T33" s="155"/>
      <c r="U33" s="155"/>
      <c r="V33" s="155"/>
      <c r="W33" s="152"/>
      <c r="X33" s="152"/>
      <c r="Y33" s="152"/>
      <c r="Z33" s="152"/>
      <c r="AA33" s="152"/>
      <c r="AB33" s="152"/>
      <c r="AC33" s="152"/>
      <c r="AD33" s="152"/>
      <c r="AE33" s="152"/>
      <c r="AF33" s="152"/>
      <c r="AG33" s="152"/>
      <c r="AH33" s="152"/>
      <c r="AI33" s="152"/>
      <c r="AJ33" s="152"/>
      <c r="AK33" s="152"/>
      <c r="AL33" s="152"/>
      <c r="AM33" s="152"/>
      <c r="AN33" s="152"/>
      <c r="AO33" s="152"/>
      <c r="AP33" s="152"/>
      <c r="AQ33" s="137"/>
      <c r="AR33" s="137"/>
      <c r="AS33" s="137"/>
      <c r="AT33" s="137"/>
    </row>
    <row r="34" spans="1:46" ht="15.75" x14ac:dyDescent="0.25">
      <c r="A34" s="149" t="s">
        <v>461</v>
      </c>
      <c r="B34" s="150"/>
      <c r="C34" s="151">
        <f t="shared" si="14"/>
        <v>1</v>
      </c>
      <c r="D34" s="152"/>
      <c r="E34" s="152">
        <v>1</v>
      </c>
      <c r="F34" s="152">
        <v>1</v>
      </c>
      <c r="G34" s="152"/>
      <c r="H34" s="152"/>
      <c r="I34" s="152"/>
      <c r="J34" s="152"/>
      <c r="K34" s="152"/>
      <c r="L34" s="152"/>
      <c r="M34" s="153"/>
      <c r="N34" s="153"/>
      <c r="O34" s="153"/>
      <c r="P34" s="153"/>
      <c r="Q34" s="153"/>
      <c r="R34" s="153"/>
      <c r="S34" s="155"/>
      <c r="T34" s="155"/>
      <c r="U34" s="155"/>
      <c r="V34" s="155"/>
      <c r="W34" s="152"/>
      <c r="X34" s="152"/>
      <c r="Y34" s="152"/>
      <c r="Z34" s="152"/>
      <c r="AA34" s="152"/>
      <c r="AB34" s="152"/>
      <c r="AC34" s="152"/>
      <c r="AD34" s="152"/>
      <c r="AE34" s="152"/>
      <c r="AF34" s="152"/>
      <c r="AG34" s="152"/>
      <c r="AH34" s="152"/>
      <c r="AI34" s="152"/>
      <c r="AJ34" s="152"/>
      <c r="AK34" s="152"/>
      <c r="AL34" s="152"/>
      <c r="AM34" s="152"/>
      <c r="AN34" s="152"/>
      <c r="AO34" s="152"/>
      <c r="AP34" s="152"/>
      <c r="AQ34" s="137"/>
      <c r="AR34" s="137"/>
      <c r="AS34" s="137"/>
      <c r="AT34" s="137"/>
    </row>
    <row r="35" spans="1:46" ht="15.75" x14ac:dyDescent="0.25">
      <c r="A35" s="149" t="s">
        <v>778</v>
      </c>
      <c r="B35" s="150"/>
      <c r="C35" s="151">
        <f t="shared" si="14"/>
        <v>7</v>
      </c>
      <c r="D35" s="152"/>
      <c r="E35" s="152">
        <v>3</v>
      </c>
      <c r="F35" s="152">
        <v>1</v>
      </c>
      <c r="G35" s="152">
        <v>4</v>
      </c>
      <c r="H35" s="152">
        <v>2</v>
      </c>
      <c r="I35" s="152"/>
      <c r="J35" s="152"/>
      <c r="K35" s="152"/>
      <c r="L35" s="152"/>
      <c r="M35" s="153"/>
      <c r="N35" s="153"/>
      <c r="O35" s="153"/>
      <c r="P35" s="153"/>
      <c r="Q35" s="153">
        <v>5371</v>
      </c>
      <c r="R35" s="153">
        <v>5371</v>
      </c>
      <c r="S35" s="155"/>
      <c r="T35" s="155"/>
      <c r="U35" s="155"/>
      <c r="V35" s="155"/>
      <c r="W35" s="152"/>
      <c r="X35" s="152"/>
      <c r="Y35" s="152"/>
      <c r="Z35" s="152"/>
      <c r="AA35" s="152"/>
      <c r="AB35" s="152"/>
      <c r="AC35" s="152"/>
      <c r="AD35" s="152"/>
      <c r="AE35" s="152"/>
      <c r="AF35" s="152"/>
      <c r="AG35" s="152"/>
      <c r="AH35" s="152"/>
      <c r="AI35" s="152"/>
      <c r="AJ35" s="152"/>
      <c r="AK35" s="152"/>
      <c r="AL35" s="152"/>
      <c r="AM35" s="152"/>
      <c r="AN35" s="152"/>
      <c r="AO35" s="152"/>
      <c r="AP35" s="152"/>
      <c r="AQ35" s="137"/>
      <c r="AR35" s="137"/>
      <c r="AS35" s="137"/>
      <c r="AT35" s="137"/>
    </row>
    <row r="36" spans="1:46" ht="15.75" x14ac:dyDescent="0.25">
      <c r="A36" s="149" t="s">
        <v>779</v>
      </c>
      <c r="B36" s="150"/>
      <c r="C36" s="151">
        <f t="shared" si="14"/>
        <v>9.5</v>
      </c>
      <c r="D36" s="152"/>
      <c r="E36" s="152">
        <v>5.5</v>
      </c>
      <c r="F36" s="152">
        <v>3</v>
      </c>
      <c r="G36" s="152">
        <v>4</v>
      </c>
      <c r="H36" s="152">
        <v>4</v>
      </c>
      <c r="I36" s="152"/>
      <c r="J36" s="152"/>
      <c r="K36" s="152"/>
      <c r="L36" s="152"/>
      <c r="M36" s="153"/>
      <c r="N36" s="153"/>
      <c r="O36" s="153"/>
      <c r="P36" s="153"/>
      <c r="Q36" s="153"/>
      <c r="R36" s="153"/>
      <c r="S36" s="155"/>
      <c r="T36" s="155"/>
      <c r="U36" s="155"/>
      <c r="V36" s="155"/>
      <c r="W36" s="152"/>
      <c r="X36" s="152"/>
      <c r="Y36" s="152"/>
      <c r="Z36" s="152"/>
      <c r="AA36" s="152"/>
      <c r="AB36" s="152"/>
      <c r="AC36" s="152"/>
      <c r="AD36" s="152"/>
      <c r="AE36" s="152"/>
      <c r="AF36" s="152"/>
      <c r="AG36" s="152"/>
      <c r="AH36" s="152"/>
      <c r="AI36" s="152"/>
      <c r="AJ36" s="152"/>
      <c r="AK36" s="152"/>
      <c r="AL36" s="152"/>
      <c r="AM36" s="152"/>
      <c r="AN36" s="152"/>
      <c r="AO36" s="152"/>
      <c r="AP36" s="152"/>
      <c r="AQ36" s="137"/>
      <c r="AR36" s="137"/>
      <c r="AS36" s="137"/>
      <c r="AT36" s="137"/>
    </row>
    <row r="37" spans="1:46" ht="15.75" x14ac:dyDescent="0.25">
      <c r="A37" s="149" t="s">
        <v>780</v>
      </c>
      <c r="B37" s="150"/>
      <c r="C37" s="151">
        <f t="shared" si="14"/>
        <v>6</v>
      </c>
      <c r="D37" s="152"/>
      <c r="E37" s="152">
        <v>2</v>
      </c>
      <c r="F37" s="152">
        <v>1</v>
      </c>
      <c r="G37" s="152">
        <v>3</v>
      </c>
      <c r="H37" s="152">
        <v>3</v>
      </c>
      <c r="I37" s="152"/>
      <c r="J37" s="152"/>
      <c r="K37" s="152">
        <v>1</v>
      </c>
      <c r="L37" s="152">
        <v>1</v>
      </c>
      <c r="M37" s="153"/>
      <c r="N37" s="153"/>
      <c r="O37" s="153"/>
      <c r="P37" s="153"/>
      <c r="Q37" s="153">
        <v>3976</v>
      </c>
      <c r="R37" s="153">
        <v>3976</v>
      </c>
      <c r="S37" s="155"/>
      <c r="T37" s="155"/>
      <c r="U37" s="155"/>
      <c r="V37" s="155"/>
      <c r="W37" s="152"/>
      <c r="X37" s="152"/>
      <c r="Y37" s="152"/>
      <c r="Z37" s="152"/>
      <c r="AA37" s="152"/>
      <c r="AB37" s="152"/>
      <c r="AC37" s="152"/>
      <c r="AD37" s="152"/>
      <c r="AE37" s="152"/>
      <c r="AF37" s="152"/>
      <c r="AG37" s="152"/>
      <c r="AH37" s="152"/>
      <c r="AI37" s="152"/>
      <c r="AJ37" s="152"/>
      <c r="AK37" s="152"/>
      <c r="AL37" s="152"/>
      <c r="AM37" s="152"/>
      <c r="AN37" s="152"/>
      <c r="AO37" s="152"/>
      <c r="AP37" s="152"/>
      <c r="AQ37" s="137"/>
      <c r="AR37" s="137"/>
      <c r="AS37" s="137"/>
      <c r="AT37" s="137"/>
    </row>
    <row r="38" spans="1:46" ht="15.75" x14ac:dyDescent="0.25">
      <c r="A38" s="149" t="s">
        <v>781</v>
      </c>
      <c r="B38" s="150"/>
      <c r="C38" s="151">
        <f t="shared" si="14"/>
        <v>32</v>
      </c>
      <c r="D38" s="152"/>
      <c r="E38" s="152">
        <v>13</v>
      </c>
      <c r="F38" s="152">
        <v>8</v>
      </c>
      <c r="G38" s="152">
        <v>14</v>
      </c>
      <c r="H38" s="152">
        <v>9</v>
      </c>
      <c r="I38" s="152">
        <v>3</v>
      </c>
      <c r="J38" s="152">
        <v>1</v>
      </c>
      <c r="K38" s="152">
        <v>2</v>
      </c>
      <c r="L38" s="152">
        <v>2</v>
      </c>
      <c r="M38" s="153"/>
      <c r="N38" s="153"/>
      <c r="O38" s="153"/>
      <c r="P38" s="153"/>
      <c r="Q38" s="153"/>
      <c r="R38" s="153"/>
      <c r="S38" s="155"/>
      <c r="T38" s="155"/>
      <c r="U38" s="155"/>
      <c r="V38" s="155"/>
      <c r="W38" s="152"/>
      <c r="X38" s="152"/>
      <c r="Y38" s="152"/>
      <c r="Z38" s="152"/>
      <c r="AA38" s="152"/>
      <c r="AB38" s="152"/>
      <c r="AC38" s="152"/>
      <c r="AD38" s="152"/>
      <c r="AE38" s="152"/>
      <c r="AF38" s="152"/>
      <c r="AG38" s="152"/>
      <c r="AH38" s="152"/>
      <c r="AI38" s="152"/>
      <c r="AJ38" s="152"/>
      <c r="AK38" s="152"/>
      <c r="AL38" s="152"/>
      <c r="AM38" s="152"/>
      <c r="AN38" s="152"/>
      <c r="AO38" s="152"/>
      <c r="AP38" s="152"/>
      <c r="AQ38" s="137"/>
      <c r="AR38" s="137"/>
      <c r="AS38" s="137"/>
      <c r="AT38" s="137"/>
    </row>
    <row r="39" spans="1:46" ht="15.75" x14ac:dyDescent="0.25">
      <c r="A39" s="149" t="s">
        <v>782</v>
      </c>
      <c r="B39" s="150"/>
      <c r="C39" s="151">
        <f t="shared" si="14"/>
        <v>43.5</v>
      </c>
      <c r="D39" s="152"/>
      <c r="E39" s="152">
        <v>7</v>
      </c>
      <c r="F39" s="152">
        <v>4</v>
      </c>
      <c r="G39" s="152">
        <v>28.5</v>
      </c>
      <c r="H39" s="152">
        <v>18</v>
      </c>
      <c r="I39" s="152">
        <v>4</v>
      </c>
      <c r="J39" s="152">
        <v>2</v>
      </c>
      <c r="K39" s="152">
        <v>4</v>
      </c>
      <c r="L39" s="152">
        <v>2</v>
      </c>
      <c r="M39" s="153"/>
      <c r="N39" s="153"/>
      <c r="O39" s="153"/>
      <c r="P39" s="153"/>
      <c r="Q39" s="153"/>
      <c r="R39" s="153"/>
      <c r="S39" s="155"/>
      <c r="T39" s="155"/>
      <c r="U39" s="155"/>
      <c r="V39" s="155"/>
      <c r="W39" s="152"/>
      <c r="X39" s="152"/>
      <c r="Y39" s="152"/>
      <c r="Z39" s="152"/>
      <c r="AA39" s="152"/>
      <c r="AB39" s="152"/>
      <c r="AC39" s="152"/>
      <c r="AD39" s="152"/>
      <c r="AE39" s="152"/>
      <c r="AF39" s="152"/>
      <c r="AG39" s="152"/>
      <c r="AH39" s="152"/>
      <c r="AI39" s="152"/>
      <c r="AJ39" s="152"/>
      <c r="AK39" s="152"/>
      <c r="AL39" s="152"/>
      <c r="AM39" s="152"/>
      <c r="AN39" s="152"/>
      <c r="AO39" s="152"/>
      <c r="AP39" s="152"/>
      <c r="AQ39" s="137"/>
      <c r="AR39" s="137"/>
      <c r="AS39" s="137"/>
      <c r="AT39" s="137"/>
    </row>
    <row r="40" spans="1:46" ht="15.75" x14ac:dyDescent="0.25">
      <c r="A40" s="149" t="s">
        <v>783</v>
      </c>
      <c r="B40" s="150"/>
      <c r="C40" s="151">
        <f t="shared" si="14"/>
        <v>6.5</v>
      </c>
      <c r="D40" s="152"/>
      <c r="E40" s="152"/>
      <c r="F40" s="152"/>
      <c r="G40" s="152"/>
      <c r="H40" s="152"/>
      <c r="I40" s="152"/>
      <c r="J40" s="152"/>
      <c r="K40" s="152">
        <v>6.5</v>
      </c>
      <c r="L40" s="152">
        <v>4</v>
      </c>
      <c r="M40" s="153"/>
      <c r="N40" s="153"/>
      <c r="O40" s="153"/>
      <c r="P40" s="153"/>
      <c r="Q40" s="153"/>
      <c r="R40" s="153"/>
      <c r="S40" s="155"/>
      <c r="T40" s="155"/>
      <c r="U40" s="155"/>
      <c r="V40" s="155"/>
      <c r="W40" s="152"/>
      <c r="X40" s="152"/>
      <c r="Y40" s="152"/>
      <c r="Z40" s="152"/>
      <c r="AA40" s="152"/>
      <c r="AB40" s="152"/>
      <c r="AC40" s="152"/>
      <c r="AD40" s="152"/>
      <c r="AE40" s="152"/>
      <c r="AF40" s="152"/>
      <c r="AG40" s="152"/>
      <c r="AH40" s="152"/>
      <c r="AI40" s="152"/>
      <c r="AJ40" s="152"/>
      <c r="AK40" s="152"/>
      <c r="AL40" s="152"/>
      <c r="AM40" s="152"/>
      <c r="AN40" s="152"/>
      <c r="AO40" s="152"/>
      <c r="AP40" s="152"/>
      <c r="AQ40" s="137"/>
      <c r="AR40" s="137"/>
      <c r="AS40" s="137"/>
      <c r="AT40" s="137"/>
    </row>
    <row r="41" spans="1:46" ht="15.75" x14ac:dyDescent="0.25">
      <c r="A41" s="149" t="s">
        <v>784</v>
      </c>
      <c r="B41" s="150"/>
      <c r="C41" s="151">
        <f t="shared" si="14"/>
        <v>13.5</v>
      </c>
      <c r="D41" s="152"/>
      <c r="E41" s="152"/>
      <c r="F41" s="152"/>
      <c r="G41" s="152"/>
      <c r="H41" s="152"/>
      <c r="I41" s="152"/>
      <c r="J41" s="152"/>
      <c r="K41" s="152">
        <v>13.5</v>
      </c>
      <c r="L41" s="152">
        <v>9</v>
      </c>
      <c r="M41" s="153"/>
      <c r="N41" s="153"/>
      <c r="O41" s="153"/>
      <c r="P41" s="153"/>
      <c r="Q41" s="153"/>
      <c r="R41" s="153"/>
      <c r="S41" s="155"/>
      <c r="T41" s="155"/>
      <c r="U41" s="155"/>
      <c r="V41" s="155"/>
      <c r="W41" s="152"/>
      <c r="X41" s="152"/>
      <c r="Y41" s="152"/>
      <c r="Z41" s="152"/>
      <c r="AA41" s="152"/>
      <c r="AB41" s="152"/>
      <c r="AC41" s="152"/>
      <c r="AD41" s="152"/>
      <c r="AE41" s="152"/>
      <c r="AF41" s="152"/>
      <c r="AG41" s="152"/>
      <c r="AH41" s="152"/>
      <c r="AI41" s="152"/>
      <c r="AJ41" s="152"/>
      <c r="AK41" s="152"/>
      <c r="AL41" s="152"/>
      <c r="AM41" s="152"/>
      <c r="AN41" s="152"/>
      <c r="AO41" s="152"/>
      <c r="AP41" s="152"/>
      <c r="AQ41" s="137"/>
      <c r="AR41" s="137"/>
      <c r="AS41" s="137"/>
      <c r="AT41" s="137"/>
    </row>
    <row r="42" spans="1:46" ht="15.75" x14ac:dyDescent="0.25">
      <c r="A42" s="149" t="s">
        <v>785</v>
      </c>
      <c r="B42" s="150"/>
      <c r="C42" s="151">
        <f t="shared" si="14"/>
        <v>36.5</v>
      </c>
      <c r="D42" s="152"/>
      <c r="E42" s="152">
        <v>14.5</v>
      </c>
      <c r="F42" s="152">
        <v>6</v>
      </c>
      <c r="G42" s="152">
        <v>16</v>
      </c>
      <c r="H42" s="152">
        <v>9</v>
      </c>
      <c r="I42" s="152">
        <v>2</v>
      </c>
      <c r="J42" s="152">
        <v>1</v>
      </c>
      <c r="K42" s="152">
        <v>4</v>
      </c>
      <c r="L42" s="152">
        <v>2</v>
      </c>
      <c r="M42" s="153"/>
      <c r="N42" s="153"/>
      <c r="O42" s="153"/>
      <c r="P42" s="153"/>
      <c r="Q42" s="153"/>
      <c r="R42" s="153"/>
      <c r="S42" s="155"/>
      <c r="T42" s="155"/>
      <c r="U42" s="155"/>
      <c r="V42" s="155"/>
      <c r="W42" s="152"/>
      <c r="X42" s="152"/>
      <c r="Y42" s="152"/>
      <c r="Z42" s="152"/>
      <c r="AA42" s="152"/>
      <c r="AB42" s="152"/>
      <c r="AC42" s="152"/>
      <c r="AD42" s="152"/>
      <c r="AE42" s="152"/>
      <c r="AF42" s="152"/>
      <c r="AG42" s="152"/>
      <c r="AH42" s="152"/>
      <c r="AI42" s="152"/>
      <c r="AJ42" s="152"/>
      <c r="AK42" s="152"/>
      <c r="AL42" s="152"/>
      <c r="AM42" s="152"/>
      <c r="AN42" s="152"/>
      <c r="AO42" s="152"/>
      <c r="AP42" s="152"/>
      <c r="AQ42" s="137"/>
      <c r="AR42" s="137"/>
      <c r="AS42" s="137"/>
      <c r="AT42" s="137"/>
    </row>
    <row r="43" spans="1:46" ht="15.75" x14ac:dyDescent="0.25">
      <c r="A43" s="143" t="s">
        <v>786</v>
      </c>
      <c r="B43" s="143" t="s">
        <v>776</v>
      </c>
      <c r="C43" s="157">
        <f t="shared" si="14"/>
        <v>212.25</v>
      </c>
      <c r="D43" s="144"/>
      <c r="E43" s="144">
        <f>E44+E45+E46+E47+E48+E49+E50+E51+E52+E53+E54+E55</f>
        <v>38.5</v>
      </c>
      <c r="F43" s="144">
        <f>F44+F45+F46+F47+F48+F49+F50+F51+F52+F53+F54+F55</f>
        <v>20</v>
      </c>
      <c r="G43" s="144">
        <f>G44+G45+G46+G47+G48+G49+G50+G51+G52+G53+G54+G55</f>
        <v>70.25</v>
      </c>
      <c r="H43" s="144">
        <f>H44+H45+H46+H47+H48+H49+H50+H51+H52+H53+H54+H55</f>
        <v>37</v>
      </c>
      <c r="I43" s="144">
        <f>I44+I45+I46+I47+I48+I49+I50+I51+I52+I53+I54+I55</f>
        <v>5</v>
      </c>
      <c r="J43" s="144">
        <f t="shared" ref="J43:L43" si="44">J44+J45+J46+J47+J48+J49+J50+J51+J52+J53+J54+J55</f>
        <v>5</v>
      </c>
      <c r="K43" s="144">
        <f t="shared" si="44"/>
        <v>98.5</v>
      </c>
      <c r="L43" s="144">
        <f t="shared" si="44"/>
        <v>77</v>
      </c>
      <c r="M43" s="144"/>
      <c r="N43" s="145"/>
      <c r="O43" s="145"/>
      <c r="P43" s="145"/>
      <c r="Q43" s="145">
        <v>122151</v>
      </c>
      <c r="R43" s="145">
        <v>128902</v>
      </c>
      <c r="S43" s="155"/>
      <c r="T43" s="155"/>
      <c r="U43" s="155"/>
      <c r="V43" s="155"/>
      <c r="W43" s="154">
        <f t="shared" ref="W43" si="45">SUM(Y43,AR43)</f>
        <v>18427.809138993129</v>
      </c>
      <c r="X43" s="154">
        <f t="shared" ref="X43" si="46">SUM(Z43,AT43)</f>
        <v>9396.9598891999995</v>
      </c>
      <c r="Y43" s="154">
        <f t="shared" ref="Y43" si="47">SUM(AB43,AF43,AJ43,AN43)</f>
        <v>18427.809138993129</v>
      </c>
      <c r="Z43" s="154">
        <f t="shared" ref="Z43" si="48">SUM(AD43,AH43,AL43,AP43)</f>
        <v>9396.9598891999995</v>
      </c>
      <c r="AA43" s="154">
        <v>147364</v>
      </c>
      <c r="AB43" s="154">
        <f t="shared" ref="AB43" si="49">AD43/AC43*AA43</f>
        <v>713.97578412380403</v>
      </c>
      <c r="AC43" s="154">
        <v>124390</v>
      </c>
      <c r="AD43" s="154">
        <f>602667.19/1000</f>
        <v>602.66718999999989</v>
      </c>
      <c r="AE43" s="154">
        <v>2786.2</v>
      </c>
      <c r="AF43" s="154">
        <f t="shared" ref="AF43" si="50">AH43/AG43*AE43</f>
        <v>14082.49324677456</v>
      </c>
      <c r="AG43" s="154">
        <f>910.42+197.49</f>
        <v>1107.9099999999999</v>
      </c>
      <c r="AH43" s="154">
        <f>(4601602+998188.07)/1000</f>
        <v>5599.79007</v>
      </c>
      <c r="AI43" s="154">
        <f>1473.6+3591.6+1854.03+7591.75</f>
        <v>14510.98</v>
      </c>
      <c r="AJ43" s="154">
        <f t="shared" ref="AJ43" si="51">AL43/AK43*AI43</f>
        <v>2510.8022324947665</v>
      </c>
      <c r="AK43" s="154">
        <f>2579.15+740.43+1854.03+7591.75</f>
        <v>12765.36</v>
      </c>
      <c r="AL43" s="154">
        <f>(390246.97+258341.52+562616.83+997556.21)/1000</f>
        <v>2208.7615299999998</v>
      </c>
      <c r="AM43" s="154">
        <f t="shared" ref="AM43" si="52">AI43</f>
        <v>14510.98</v>
      </c>
      <c r="AN43" s="154">
        <f t="shared" ref="AN43" si="53">AP43/AO43*AM43</f>
        <v>1120.5378756</v>
      </c>
      <c r="AO43" s="154">
        <v>12765.36</v>
      </c>
      <c r="AP43" s="154">
        <f>AO43*77.22/1000</f>
        <v>985.74109920000001</v>
      </c>
      <c r="AQ43" s="136"/>
      <c r="AR43" s="136"/>
      <c r="AS43" s="136"/>
      <c r="AT43" s="136"/>
    </row>
    <row r="44" spans="1:46" ht="15.75" x14ac:dyDescent="0.25">
      <c r="A44" s="149" t="s">
        <v>786</v>
      </c>
      <c r="B44" s="150"/>
      <c r="C44" s="151">
        <f t="shared" si="14"/>
        <v>104.25</v>
      </c>
      <c r="D44" s="152"/>
      <c r="E44" s="152">
        <f>29+1.5</f>
        <v>30.5</v>
      </c>
      <c r="F44" s="152">
        <v>15</v>
      </c>
      <c r="G44" s="152">
        <f>51.75+1</f>
        <v>52.75</v>
      </c>
      <c r="H44" s="152">
        <v>28</v>
      </c>
      <c r="I44" s="152">
        <v>3</v>
      </c>
      <c r="J44" s="152">
        <v>3</v>
      </c>
      <c r="K44" s="152">
        <v>18</v>
      </c>
      <c r="L44" s="152">
        <v>16</v>
      </c>
      <c r="M44" s="153"/>
      <c r="N44" s="153"/>
      <c r="O44" s="153"/>
      <c r="P44" s="153"/>
      <c r="Q44" s="153"/>
      <c r="R44" s="153"/>
      <c r="S44" s="155"/>
      <c r="T44" s="155"/>
      <c r="U44" s="155"/>
      <c r="V44" s="155"/>
      <c r="W44" s="152"/>
      <c r="X44" s="152"/>
      <c r="Y44" s="152"/>
      <c r="Z44" s="152"/>
      <c r="AA44" s="152"/>
      <c r="AB44" s="152"/>
      <c r="AC44" s="152"/>
      <c r="AD44" s="152"/>
      <c r="AE44" s="152"/>
      <c r="AF44" s="152"/>
      <c r="AG44" s="152"/>
      <c r="AH44" s="152"/>
      <c r="AI44" s="152"/>
      <c r="AJ44" s="152"/>
      <c r="AK44" s="152"/>
      <c r="AL44" s="152"/>
      <c r="AM44" s="152"/>
      <c r="AN44" s="152"/>
      <c r="AO44" s="152"/>
      <c r="AP44" s="152"/>
      <c r="AQ44" s="137"/>
      <c r="AR44" s="137"/>
      <c r="AS44" s="137"/>
      <c r="AT44" s="137"/>
    </row>
    <row r="45" spans="1:46" ht="15.75" x14ac:dyDescent="0.25">
      <c r="A45" s="149" t="s">
        <v>461</v>
      </c>
      <c r="B45" s="150"/>
      <c r="C45" s="151">
        <f t="shared" si="14"/>
        <v>4</v>
      </c>
      <c r="D45" s="152"/>
      <c r="E45" s="152">
        <v>2</v>
      </c>
      <c r="F45" s="152">
        <v>2</v>
      </c>
      <c r="G45" s="152"/>
      <c r="H45" s="152"/>
      <c r="I45" s="152"/>
      <c r="J45" s="152"/>
      <c r="K45" s="152">
        <v>2</v>
      </c>
      <c r="L45" s="158">
        <v>2</v>
      </c>
      <c r="M45" s="153"/>
      <c r="N45" s="153"/>
      <c r="O45" s="153"/>
      <c r="P45" s="153"/>
      <c r="Q45" s="153"/>
      <c r="R45" s="153"/>
      <c r="S45" s="155"/>
      <c r="T45" s="155"/>
      <c r="U45" s="155"/>
      <c r="V45" s="155"/>
      <c r="W45" s="152"/>
      <c r="X45" s="152"/>
      <c r="Y45" s="152"/>
      <c r="Z45" s="152"/>
      <c r="AA45" s="152"/>
      <c r="AB45" s="152"/>
      <c r="AC45" s="152"/>
      <c r="AD45" s="152"/>
      <c r="AE45" s="152"/>
      <c r="AF45" s="152"/>
      <c r="AG45" s="152"/>
      <c r="AH45" s="152"/>
      <c r="AI45" s="152"/>
      <c r="AJ45" s="152"/>
      <c r="AK45" s="152"/>
      <c r="AL45" s="152"/>
      <c r="AM45" s="152"/>
      <c r="AN45" s="152"/>
      <c r="AO45" s="152"/>
      <c r="AP45" s="152"/>
      <c r="AQ45" s="137"/>
      <c r="AR45" s="137"/>
      <c r="AS45" s="137"/>
      <c r="AT45" s="137"/>
    </row>
    <row r="46" spans="1:46" ht="15.75" x14ac:dyDescent="0.25">
      <c r="A46" s="149" t="s">
        <v>787</v>
      </c>
      <c r="B46" s="150"/>
      <c r="C46" s="151">
        <f t="shared" si="14"/>
        <v>22</v>
      </c>
      <c r="D46" s="152"/>
      <c r="E46" s="152">
        <v>2</v>
      </c>
      <c r="F46" s="152">
        <v>1</v>
      </c>
      <c r="G46" s="152">
        <v>13</v>
      </c>
      <c r="H46" s="152">
        <v>8</v>
      </c>
      <c r="I46" s="152">
        <v>2</v>
      </c>
      <c r="J46" s="152">
        <v>2</v>
      </c>
      <c r="K46" s="152">
        <v>5</v>
      </c>
      <c r="L46" s="152">
        <v>2</v>
      </c>
      <c r="M46" s="153"/>
      <c r="N46" s="153"/>
      <c r="O46" s="153"/>
      <c r="P46" s="153"/>
      <c r="Q46" s="153"/>
      <c r="R46" s="153"/>
      <c r="S46" s="155"/>
      <c r="T46" s="155"/>
      <c r="U46" s="155"/>
      <c r="V46" s="155"/>
      <c r="W46" s="152"/>
      <c r="X46" s="152"/>
      <c r="Y46" s="152"/>
      <c r="Z46" s="152"/>
      <c r="AA46" s="152"/>
      <c r="AB46" s="152"/>
      <c r="AC46" s="152"/>
      <c r="AD46" s="152"/>
      <c r="AE46" s="152"/>
      <c r="AF46" s="152"/>
      <c r="AG46" s="152"/>
      <c r="AH46" s="152"/>
      <c r="AI46" s="152"/>
      <c r="AJ46" s="152"/>
      <c r="AK46" s="152"/>
      <c r="AL46" s="152"/>
      <c r="AM46" s="152"/>
      <c r="AN46" s="152"/>
      <c r="AO46" s="152"/>
      <c r="AP46" s="152"/>
      <c r="AQ46" s="137"/>
      <c r="AR46" s="137"/>
      <c r="AS46" s="137"/>
      <c r="AT46" s="137"/>
    </row>
    <row r="47" spans="1:46" ht="15.75" x14ac:dyDescent="0.25">
      <c r="A47" s="149" t="s">
        <v>788</v>
      </c>
      <c r="B47" s="150"/>
      <c r="C47" s="151">
        <f t="shared" si="14"/>
        <v>11.5</v>
      </c>
      <c r="D47" s="152"/>
      <c r="E47" s="152">
        <v>1</v>
      </c>
      <c r="F47" s="152">
        <v>1</v>
      </c>
      <c r="G47" s="152">
        <v>1.5</v>
      </c>
      <c r="H47" s="152"/>
      <c r="I47" s="152"/>
      <c r="J47" s="152"/>
      <c r="K47" s="152">
        <v>9</v>
      </c>
      <c r="L47" s="152">
        <v>9</v>
      </c>
      <c r="M47" s="153"/>
      <c r="N47" s="153"/>
      <c r="O47" s="153"/>
      <c r="P47" s="153"/>
      <c r="Q47" s="153"/>
      <c r="R47" s="153"/>
      <c r="S47" s="155"/>
      <c r="T47" s="155"/>
      <c r="U47" s="155"/>
      <c r="V47" s="155"/>
      <c r="W47" s="152"/>
      <c r="X47" s="152"/>
      <c r="Y47" s="152"/>
      <c r="Z47" s="152"/>
      <c r="AA47" s="152"/>
      <c r="AB47" s="152"/>
      <c r="AC47" s="152"/>
      <c r="AD47" s="152"/>
      <c r="AE47" s="152"/>
      <c r="AF47" s="152"/>
      <c r="AG47" s="152"/>
      <c r="AH47" s="152"/>
      <c r="AI47" s="152"/>
      <c r="AJ47" s="152"/>
      <c r="AK47" s="152"/>
      <c r="AL47" s="152"/>
      <c r="AM47" s="152"/>
      <c r="AN47" s="152"/>
      <c r="AO47" s="152"/>
      <c r="AP47" s="152"/>
      <c r="AQ47" s="137"/>
      <c r="AR47" s="137"/>
      <c r="AS47" s="137"/>
      <c r="AT47" s="137"/>
    </row>
    <row r="48" spans="1:46" ht="15.75" x14ac:dyDescent="0.25">
      <c r="A48" s="149" t="s">
        <v>789</v>
      </c>
      <c r="B48" s="150"/>
      <c r="C48" s="151">
        <f t="shared" si="14"/>
        <v>6</v>
      </c>
      <c r="D48" s="152"/>
      <c r="E48" s="152">
        <v>3</v>
      </c>
      <c r="F48" s="152">
        <v>1</v>
      </c>
      <c r="G48" s="152">
        <v>3</v>
      </c>
      <c r="H48" s="152">
        <v>1</v>
      </c>
      <c r="I48" s="152"/>
      <c r="J48" s="152"/>
      <c r="K48" s="152"/>
      <c r="L48" s="152"/>
      <c r="M48" s="153"/>
      <c r="N48" s="153"/>
      <c r="O48" s="153"/>
      <c r="P48" s="153"/>
      <c r="Q48" s="153"/>
      <c r="R48" s="153"/>
      <c r="S48" s="155"/>
      <c r="T48" s="155"/>
      <c r="U48" s="155"/>
      <c r="V48" s="155"/>
      <c r="W48" s="152"/>
      <c r="X48" s="152"/>
      <c r="Y48" s="152"/>
      <c r="Z48" s="152"/>
      <c r="AA48" s="152"/>
      <c r="AB48" s="152"/>
      <c r="AC48" s="152"/>
      <c r="AD48" s="152"/>
      <c r="AE48" s="152"/>
      <c r="AF48" s="152"/>
      <c r="AG48" s="152"/>
      <c r="AH48" s="152"/>
      <c r="AI48" s="152"/>
      <c r="AJ48" s="152"/>
      <c r="AK48" s="152"/>
      <c r="AL48" s="152"/>
      <c r="AM48" s="152"/>
      <c r="AN48" s="152"/>
      <c r="AO48" s="152"/>
      <c r="AP48" s="152"/>
      <c r="AQ48" s="137"/>
      <c r="AR48" s="137"/>
      <c r="AS48" s="137"/>
      <c r="AT48" s="137"/>
    </row>
    <row r="49" spans="1:46" ht="15.75" x14ac:dyDescent="0.25">
      <c r="A49" s="149" t="s">
        <v>790</v>
      </c>
      <c r="B49" s="150"/>
      <c r="C49" s="151">
        <f t="shared" si="14"/>
        <v>5</v>
      </c>
      <c r="D49" s="152"/>
      <c r="E49" s="152"/>
      <c r="F49" s="152"/>
      <c r="G49" s="152"/>
      <c r="H49" s="152"/>
      <c r="I49" s="152"/>
      <c r="J49" s="152"/>
      <c r="K49" s="152">
        <v>5</v>
      </c>
      <c r="L49" s="152">
        <v>3</v>
      </c>
      <c r="M49" s="153"/>
      <c r="N49" s="153"/>
      <c r="O49" s="153"/>
      <c r="P49" s="153"/>
      <c r="Q49" s="153"/>
      <c r="R49" s="153"/>
      <c r="S49" s="155"/>
      <c r="T49" s="155"/>
      <c r="U49" s="155"/>
      <c r="V49" s="155"/>
      <c r="W49" s="152"/>
      <c r="X49" s="152"/>
      <c r="Y49" s="152"/>
      <c r="Z49" s="152"/>
      <c r="AA49" s="152"/>
      <c r="AB49" s="152"/>
      <c r="AC49" s="152"/>
      <c r="AD49" s="152"/>
      <c r="AE49" s="152"/>
      <c r="AF49" s="152"/>
      <c r="AG49" s="152"/>
      <c r="AH49" s="152"/>
      <c r="AI49" s="152"/>
      <c r="AJ49" s="152"/>
      <c r="AK49" s="152"/>
      <c r="AL49" s="152"/>
      <c r="AM49" s="152"/>
      <c r="AN49" s="152"/>
      <c r="AO49" s="152"/>
      <c r="AP49" s="152"/>
      <c r="AQ49" s="137"/>
      <c r="AR49" s="137"/>
      <c r="AS49" s="137"/>
      <c r="AT49" s="137"/>
    </row>
    <row r="50" spans="1:46" ht="15.75" x14ac:dyDescent="0.25">
      <c r="A50" s="149" t="s">
        <v>791</v>
      </c>
      <c r="B50" s="150"/>
      <c r="C50" s="151">
        <f t="shared" si="14"/>
        <v>10.5</v>
      </c>
      <c r="D50" s="152"/>
      <c r="E50" s="152"/>
      <c r="F50" s="152"/>
      <c r="G50" s="152"/>
      <c r="H50" s="152"/>
      <c r="I50" s="152"/>
      <c r="J50" s="152"/>
      <c r="K50" s="152">
        <v>10.5</v>
      </c>
      <c r="L50" s="152">
        <v>6</v>
      </c>
      <c r="M50" s="153"/>
      <c r="N50" s="153"/>
      <c r="O50" s="153"/>
      <c r="P50" s="153"/>
      <c r="Q50" s="153"/>
      <c r="R50" s="153"/>
      <c r="S50" s="155"/>
      <c r="T50" s="155"/>
      <c r="U50" s="155"/>
      <c r="V50" s="155"/>
      <c r="W50" s="152"/>
      <c r="X50" s="152"/>
      <c r="Y50" s="152"/>
      <c r="Z50" s="152"/>
      <c r="AA50" s="152"/>
      <c r="AB50" s="152"/>
      <c r="AC50" s="152"/>
      <c r="AD50" s="152"/>
      <c r="AE50" s="152"/>
      <c r="AF50" s="152"/>
      <c r="AG50" s="152"/>
      <c r="AH50" s="152"/>
      <c r="AI50" s="152"/>
      <c r="AJ50" s="152"/>
      <c r="AK50" s="152"/>
      <c r="AL50" s="152"/>
      <c r="AM50" s="152"/>
      <c r="AN50" s="152"/>
      <c r="AO50" s="152"/>
      <c r="AP50" s="152"/>
      <c r="AQ50" s="137"/>
      <c r="AR50" s="137"/>
      <c r="AS50" s="137"/>
      <c r="AT50" s="137"/>
    </row>
    <row r="51" spans="1:46" ht="15.75" x14ac:dyDescent="0.25">
      <c r="A51" s="149" t="s">
        <v>792</v>
      </c>
      <c r="B51" s="150"/>
      <c r="C51" s="151">
        <f t="shared" si="14"/>
        <v>4</v>
      </c>
      <c r="D51" s="152"/>
      <c r="E51" s="152"/>
      <c r="F51" s="152"/>
      <c r="G51" s="152"/>
      <c r="H51" s="152"/>
      <c r="I51" s="152"/>
      <c r="J51" s="152"/>
      <c r="K51" s="152">
        <v>4</v>
      </c>
      <c r="L51" s="152">
        <v>3</v>
      </c>
      <c r="M51" s="153"/>
      <c r="N51" s="153"/>
      <c r="O51" s="153"/>
      <c r="P51" s="153"/>
      <c r="Q51" s="153"/>
      <c r="R51" s="153"/>
      <c r="S51" s="155"/>
      <c r="T51" s="155"/>
      <c r="U51" s="155"/>
      <c r="V51" s="155"/>
      <c r="W51" s="152"/>
      <c r="X51" s="152"/>
      <c r="Y51" s="152"/>
      <c r="Z51" s="152"/>
      <c r="AA51" s="152"/>
      <c r="AB51" s="152"/>
      <c r="AC51" s="152"/>
      <c r="AD51" s="152"/>
      <c r="AE51" s="152"/>
      <c r="AF51" s="152"/>
      <c r="AG51" s="152"/>
      <c r="AH51" s="152"/>
      <c r="AI51" s="152"/>
      <c r="AJ51" s="152"/>
      <c r="AK51" s="152"/>
      <c r="AL51" s="152"/>
      <c r="AM51" s="152"/>
      <c r="AN51" s="152"/>
      <c r="AO51" s="152"/>
      <c r="AP51" s="152"/>
      <c r="AQ51" s="137"/>
      <c r="AR51" s="137"/>
      <c r="AS51" s="137"/>
      <c r="AT51" s="137"/>
    </row>
    <row r="52" spans="1:46" ht="15.75" x14ac:dyDescent="0.25">
      <c r="A52" s="149" t="s">
        <v>793</v>
      </c>
      <c r="B52" s="150"/>
      <c r="C52" s="151">
        <f t="shared" si="14"/>
        <v>7.75</v>
      </c>
      <c r="D52" s="152"/>
      <c r="E52" s="152"/>
      <c r="F52" s="152"/>
      <c r="G52" s="152"/>
      <c r="H52" s="152"/>
      <c r="I52" s="152"/>
      <c r="J52" s="152"/>
      <c r="K52" s="152">
        <v>7.75</v>
      </c>
      <c r="L52" s="152">
        <v>5</v>
      </c>
      <c r="M52" s="153"/>
      <c r="N52" s="153"/>
      <c r="O52" s="153"/>
      <c r="P52" s="153"/>
      <c r="Q52" s="153"/>
      <c r="R52" s="153"/>
      <c r="S52" s="155"/>
      <c r="T52" s="155"/>
      <c r="U52" s="155"/>
      <c r="V52" s="155"/>
      <c r="W52" s="152"/>
      <c r="X52" s="152"/>
      <c r="Y52" s="152"/>
      <c r="Z52" s="152"/>
      <c r="AA52" s="152"/>
      <c r="AB52" s="152"/>
      <c r="AC52" s="152"/>
      <c r="AD52" s="152"/>
      <c r="AE52" s="152"/>
      <c r="AF52" s="152"/>
      <c r="AG52" s="152"/>
      <c r="AH52" s="152"/>
      <c r="AI52" s="152"/>
      <c r="AJ52" s="152"/>
      <c r="AK52" s="152"/>
      <c r="AL52" s="152"/>
      <c r="AM52" s="152"/>
      <c r="AN52" s="152"/>
      <c r="AO52" s="152"/>
      <c r="AP52" s="152"/>
      <c r="AQ52" s="137"/>
      <c r="AR52" s="137"/>
      <c r="AS52" s="137"/>
      <c r="AT52" s="137"/>
    </row>
    <row r="53" spans="1:46" ht="15.75" x14ac:dyDescent="0.25">
      <c r="A53" s="149" t="s">
        <v>794</v>
      </c>
      <c r="B53" s="150"/>
      <c r="C53" s="151">
        <f t="shared" si="14"/>
        <v>8</v>
      </c>
      <c r="D53" s="152"/>
      <c r="E53" s="152"/>
      <c r="F53" s="152"/>
      <c r="G53" s="152"/>
      <c r="H53" s="152"/>
      <c r="I53" s="152"/>
      <c r="J53" s="152"/>
      <c r="K53" s="152">
        <v>8</v>
      </c>
      <c r="L53" s="152">
        <v>8</v>
      </c>
      <c r="M53" s="153"/>
      <c r="N53" s="153"/>
      <c r="O53" s="153"/>
      <c r="P53" s="153"/>
      <c r="Q53" s="153"/>
      <c r="R53" s="153"/>
      <c r="S53" s="155"/>
      <c r="T53" s="155"/>
      <c r="U53" s="155"/>
      <c r="V53" s="155"/>
      <c r="W53" s="152"/>
      <c r="X53" s="152"/>
      <c r="Y53" s="152"/>
      <c r="Z53" s="152"/>
      <c r="AA53" s="152"/>
      <c r="AB53" s="152"/>
      <c r="AC53" s="152"/>
      <c r="AD53" s="152"/>
      <c r="AE53" s="152"/>
      <c r="AF53" s="152"/>
      <c r="AG53" s="152"/>
      <c r="AH53" s="152"/>
      <c r="AI53" s="152"/>
      <c r="AJ53" s="152"/>
      <c r="AK53" s="152"/>
      <c r="AL53" s="152"/>
      <c r="AM53" s="152"/>
      <c r="AN53" s="152"/>
      <c r="AO53" s="152"/>
      <c r="AP53" s="152"/>
      <c r="AQ53" s="137"/>
      <c r="AR53" s="137"/>
      <c r="AS53" s="137"/>
      <c r="AT53" s="137"/>
    </row>
    <row r="54" spans="1:46" ht="15.75" x14ac:dyDescent="0.25">
      <c r="A54" s="149" t="s">
        <v>795</v>
      </c>
      <c r="B54" s="150"/>
      <c r="C54" s="151">
        <f t="shared" si="14"/>
        <v>9</v>
      </c>
      <c r="D54" s="152"/>
      <c r="E54" s="152"/>
      <c r="F54" s="152"/>
      <c r="G54" s="152"/>
      <c r="H54" s="152"/>
      <c r="I54" s="152"/>
      <c r="J54" s="152"/>
      <c r="K54" s="152">
        <v>9</v>
      </c>
      <c r="L54" s="152">
        <v>7</v>
      </c>
      <c r="M54" s="153"/>
      <c r="N54" s="153"/>
      <c r="O54" s="153"/>
      <c r="P54" s="153"/>
      <c r="Q54" s="153"/>
      <c r="R54" s="153"/>
      <c r="S54" s="155"/>
      <c r="T54" s="155"/>
      <c r="U54" s="155"/>
      <c r="V54" s="155"/>
      <c r="W54" s="152"/>
      <c r="X54" s="152"/>
      <c r="Y54" s="152"/>
      <c r="Z54" s="152"/>
      <c r="AA54" s="152"/>
      <c r="AB54" s="152"/>
      <c r="AC54" s="152"/>
      <c r="AD54" s="152"/>
      <c r="AE54" s="152"/>
      <c r="AF54" s="152"/>
      <c r="AG54" s="152"/>
      <c r="AH54" s="152"/>
      <c r="AI54" s="152"/>
      <c r="AJ54" s="152"/>
      <c r="AK54" s="152"/>
      <c r="AL54" s="152"/>
      <c r="AM54" s="152"/>
      <c r="AN54" s="152"/>
      <c r="AO54" s="152"/>
      <c r="AP54" s="152"/>
      <c r="AQ54" s="137"/>
      <c r="AR54" s="137"/>
      <c r="AS54" s="137"/>
      <c r="AT54" s="137"/>
    </row>
    <row r="55" spans="1:46" ht="15.75" x14ac:dyDescent="0.25">
      <c r="A55" s="156" t="s">
        <v>796</v>
      </c>
      <c r="B55" s="150"/>
      <c r="C55" s="152">
        <f t="shared" si="14"/>
        <v>20.25</v>
      </c>
      <c r="D55" s="152"/>
      <c r="E55" s="152"/>
      <c r="F55" s="152"/>
      <c r="G55" s="152"/>
      <c r="H55" s="152"/>
      <c r="I55" s="152"/>
      <c r="J55" s="152"/>
      <c r="K55" s="152">
        <v>20.25</v>
      </c>
      <c r="L55" s="152">
        <v>16</v>
      </c>
      <c r="M55" s="153"/>
      <c r="N55" s="153"/>
      <c r="O55" s="153"/>
      <c r="P55" s="153"/>
      <c r="Q55" s="153"/>
      <c r="R55" s="153"/>
      <c r="S55" s="155"/>
      <c r="T55" s="155"/>
      <c r="U55" s="155"/>
      <c r="V55" s="155"/>
      <c r="W55" s="152"/>
      <c r="X55" s="152"/>
      <c r="Y55" s="152"/>
      <c r="Z55" s="152"/>
      <c r="AA55" s="152"/>
      <c r="AB55" s="152"/>
      <c r="AC55" s="152"/>
      <c r="AD55" s="152"/>
      <c r="AE55" s="152"/>
      <c r="AF55" s="152"/>
      <c r="AG55" s="152"/>
      <c r="AH55" s="152"/>
      <c r="AI55" s="152"/>
      <c r="AJ55" s="152"/>
      <c r="AK55" s="152"/>
      <c r="AL55" s="152"/>
      <c r="AM55" s="152"/>
      <c r="AN55" s="152"/>
      <c r="AO55" s="152"/>
      <c r="AP55" s="152"/>
      <c r="AQ55" s="137"/>
      <c r="AR55" s="137"/>
      <c r="AS55" s="137"/>
      <c r="AT55" s="137"/>
    </row>
    <row r="56" spans="1:46" ht="15.75" x14ac:dyDescent="0.25">
      <c r="A56" s="150"/>
      <c r="B56" s="150"/>
      <c r="C56" s="152"/>
      <c r="D56" s="152"/>
      <c r="E56" s="152"/>
      <c r="F56" s="152"/>
      <c r="G56" s="152"/>
      <c r="H56" s="152"/>
      <c r="I56" s="152"/>
      <c r="J56" s="152"/>
      <c r="K56" s="152"/>
      <c r="L56" s="152"/>
      <c r="M56" s="153"/>
      <c r="N56" s="153"/>
      <c r="O56" s="153"/>
      <c r="P56" s="153"/>
      <c r="Q56" s="153"/>
      <c r="R56" s="153"/>
      <c r="S56" s="155"/>
      <c r="T56" s="155"/>
      <c r="U56" s="155"/>
      <c r="V56" s="155"/>
      <c r="W56" s="152"/>
      <c r="X56" s="152"/>
      <c r="Y56" s="152"/>
      <c r="Z56" s="152"/>
      <c r="AA56" s="152"/>
      <c r="AB56" s="152"/>
      <c r="AC56" s="152"/>
      <c r="AD56" s="152"/>
      <c r="AE56" s="152"/>
      <c r="AF56" s="152"/>
      <c r="AG56" s="152"/>
      <c r="AH56" s="152"/>
      <c r="AI56" s="152"/>
      <c r="AJ56" s="152"/>
      <c r="AK56" s="152"/>
      <c r="AL56" s="152"/>
      <c r="AM56" s="152"/>
      <c r="AN56" s="152"/>
      <c r="AO56" s="152"/>
      <c r="AP56" s="152"/>
      <c r="AQ56" s="137"/>
      <c r="AR56" s="137"/>
      <c r="AS56" s="137"/>
      <c r="AT56" s="137"/>
    </row>
    <row r="57" spans="1:46" ht="15.75" x14ac:dyDescent="0.25">
      <c r="A57" s="150" t="s">
        <v>797</v>
      </c>
      <c r="B57" s="150" t="s">
        <v>745</v>
      </c>
      <c r="C57" s="152">
        <f t="shared" si="14"/>
        <v>9.5</v>
      </c>
      <c r="D57" s="152"/>
      <c r="E57" s="152">
        <v>2.5</v>
      </c>
      <c r="F57" s="152">
        <v>2</v>
      </c>
      <c r="G57" s="152">
        <v>5</v>
      </c>
      <c r="H57" s="152">
        <v>4</v>
      </c>
      <c r="I57" s="152">
        <v>2</v>
      </c>
      <c r="J57" s="152">
        <v>2</v>
      </c>
      <c r="K57" s="152"/>
      <c r="L57" s="152"/>
      <c r="M57" s="153"/>
      <c r="N57" s="153"/>
      <c r="O57" s="153"/>
      <c r="P57" s="153"/>
      <c r="Q57" s="153">
        <v>500</v>
      </c>
      <c r="R57" s="153">
        <v>534</v>
      </c>
      <c r="S57" s="155"/>
      <c r="T57" s="155"/>
      <c r="U57" s="155"/>
      <c r="V57" s="155"/>
      <c r="W57" s="154">
        <v>17716.53</v>
      </c>
      <c r="X57" s="154">
        <v>17716.53</v>
      </c>
      <c r="Y57" s="154">
        <f t="shared" ref="Y57" si="54">SUM(AB57,AF57,AJ57,AN57)</f>
        <v>1891.3379104031658</v>
      </c>
      <c r="Z57" s="154">
        <f t="shared" ref="Z57" si="55">SUM(AD57,AH57,AL57,AP57)</f>
        <v>1423.9504419999998</v>
      </c>
      <c r="AA57" s="154">
        <v>104710</v>
      </c>
      <c r="AB57" s="154">
        <f t="shared" ref="AB57" si="56">AD57/AC57*AA57</f>
        <v>232.97786805833826</v>
      </c>
      <c r="AC57" s="154">
        <v>101820</v>
      </c>
      <c r="AD57" s="154">
        <f>226547.67/1000</f>
        <v>226.54767000000001</v>
      </c>
      <c r="AE57" s="154">
        <v>300</v>
      </c>
      <c r="AF57" s="154">
        <f t="shared" ref="AF57" si="57">AH57/AG57*AE57</f>
        <v>1516.3068103448275</v>
      </c>
      <c r="AG57" s="154">
        <v>208.8</v>
      </c>
      <c r="AH57" s="154">
        <f>1055349.54/1000</f>
        <v>1055.3495399999999</v>
      </c>
      <c r="AI57" s="154">
        <v>621.6</v>
      </c>
      <c r="AJ57" s="154">
        <f t="shared" ref="AJ57" si="58">AL57/AK57*AI57</f>
        <v>94.053280000000015</v>
      </c>
      <c r="AK57" s="154">
        <v>621.6</v>
      </c>
      <c r="AL57" s="154">
        <f>94053.28/1000</f>
        <v>94.053280000000001</v>
      </c>
      <c r="AM57" s="154">
        <f t="shared" ref="AM57" si="59">AI57</f>
        <v>621.6</v>
      </c>
      <c r="AN57" s="154">
        <f t="shared" ref="AN57" si="60">AP57/AO57*AM57</f>
        <v>47.999952</v>
      </c>
      <c r="AO57" s="154">
        <v>621.6</v>
      </c>
      <c r="AP57" s="154">
        <f>AO57*77.22/1000</f>
        <v>47.999952</v>
      </c>
      <c r="AQ57" s="138"/>
      <c r="AR57" s="138"/>
      <c r="AS57" s="138"/>
      <c r="AT57" s="138"/>
    </row>
    <row r="58" spans="1:46" ht="15.75" x14ac:dyDescent="0.25">
      <c r="A58" s="150" t="s">
        <v>798</v>
      </c>
      <c r="B58" s="150"/>
      <c r="C58" s="152">
        <f t="shared" si="14"/>
        <v>0</v>
      </c>
      <c r="D58" s="152"/>
      <c r="E58" s="152"/>
      <c r="F58" s="152"/>
      <c r="G58" s="152"/>
      <c r="H58" s="152"/>
      <c r="I58" s="152"/>
      <c r="J58" s="152"/>
      <c r="K58" s="152"/>
      <c r="L58" s="152"/>
      <c r="M58" s="153"/>
      <c r="N58" s="153"/>
      <c r="O58" s="153"/>
      <c r="P58" s="153"/>
      <c r="Q58" s="153"/>
      <c r="R58" s="153"/>
      <c r="S58" s="155"/>
      <c r="T58" s="155"/>
      <c r="U58" s="155"/>
      <c r="V58" s="155"/>
      <c r="W58" s="152"/>
      <c r="X58" s="152"/>
      <c r="Y58" s="152"/>
      <c r="Z58" s="152"/>
      <c r="AA58" s="152"/>
      <c r="AB58" s="152"/>
      <c r="AC58" s="152"/>
      <c r="AD58" s="152"/>
      <c r="AE58" s="152"/>
      <c r="AF58" s="152"/>
      <c r="AG58" s="152"/>
      <c r="AH58" s="152"/>
      <c r="AI58" s="152"/>
      <c r="AJ58" s="152"/>
      <c r="AK58" s="152"/>
      <c r="AL58" s="152"/>
      <c r="AM58" s="152"/>
      <c r="AN58" s="152"/>
      <c r="AO58" s="152"/>
      <c r="AP58" s="152"/>
      <c r="AQ58" s="137"/>
      <c r="AR58" s="137"/>
      <c r="AS58" s="137"/>
      <c r="AT58" s="137"/>
    </row>
    <row r="59" spans="1:46" ht="25.5" x14ac:dyDescent="0.25">
      <c r="A59" s="150" t="s">
        <v>799</v>
      </c>
      <c r="B59" s="150" t="s">
        <v>800</v>
      </c>
      <c r="C59" s="152">
        <f t="shared" si="14"/>
        <v>26.25</v>
      </c>
      <c r="D59" s="152"/>
      <c r="E59" s="152">
        <f>4.5-2</f>
        <v>2.5</v>
      </c>
      <c r="F59" s="152">
        <v>2</v>
      </c>
      <c r="G59" s="152">
        <f>14-3</f>
        <v>11</v>
      </c>
      <c r="H59" s="152">
        <v>9</v>
      </c>
      <c r="I59" s="152">
        <f>12-1</f>
        <v>11</v>
      </c>
      <c r="J59" s="152">
        <v>10</v>
      </c>
      <c r="K59" s="152">
        <v>1.75</v>
      </c>
      <c r="L59" s="152"/>
      <c r="M59" s="153"/>
      <c r="N59" s="153">
        <v>15</v>
      </c>
      <c r="O59" s="153"/>
      <c r="P59" s="153">
        <v>5</v>
      </c>
      <c r="Q59" s="153">
        <v>106</v>
      </c>
      <c r="R59" s="153">
        <v>104</v>
      </c>
      <c r="S59" s="155"/>
      <c r="T59" s="155"/>
      <c r="U59" s="155"/>
      <c r="V59" s="155"/>
      <c r="W59" s="154">
        <f>37308.29</f>
        <v>37308.29</v>
      </c>
      <c r="X59" s="154">
        <f>37308.29</f>
        <v>37308.29</v>
      </c>
      <c r="Y59" s="154">
        <f>SUM(AB59,AF59,AJ59,AN59)</f>
        <v>3914.470603832202</v>
      </c>
      <c r="Z59" s="154">
        <f t="shared" ref="Z59" si="61">SUM(AD59,AH59,AL59,AP59)</f>
        <v>3782.3943299999996</v>
      </c>
      <c r="AA59" s="154">
        <v>84370</v>
      </c>
      <c r="AB59" s="154">
        <f t="shared" ref="AB59" si="62">AD59/AC59*AA59</f>
        <v>408.76446948480003</v>
      </c>
      <c r="AC59" s="154">
        <v>93750</v>
      </c>
      <c r="AD59" s="154">
        <f>454209.66/1000</f>
        <v>454.20965999999999</v>
      </c>
      <c r="AE59" s="154">
        <v>912</v>
      </c>
      <c r="AF59" s="154">
        <f t="shared" ref="AF59" si="63">AH59/AG59*AE59</f>
        <v>3204.6630143474022</v>
      </c>
      <c r="AG59" s="154">
        <v>861.48</v>
      </c>
      <c r="AH59" s="154">
        <f>3027141.55/1000</f>
        <v>3027.1415499999998</v>
      </c>
      <c r="AI59" s="154">
        <v>1989.6</v>
      </c>
      <c r="AJ59" s="154">
        <f>301043.12/1000</f>
        <v>301.04311999999999</v>
      </c>
      <c r="AK59" s="154">
        <v>1989.6</v>
      </c>
      <c r="AL59" s="154">
        <f>301043.12/1000</f>
        <v>301.04311999999999</v>
      </c>
      <c r="AM59" s="154"/>
      <c r="AN59" s="154"/>
      <c r="AO59" s="154"/>
      <c r="AP59" s="154"/>
      <c r="AQ59" s="138"/>
      <c r="AR59" s="138"/>
      <c r="AS59" s="138"/>
      <c r="AT59" s="138"/>
    </row>
    <row r="60" spans="1:46" ht="25.5" x14ac:dyDescent="0.25">
      <c r="A60" s="150" t="s">
        <v>801</v>
      </c>
      <c r="B60" s="150" t="s">
        <v>802</v>
      </c>
      <c r="C60" s="152">
        <f t="shared" si="14"/>
        <v>6</v>
      </c>
      <c r="D60" s="152"/>
      <c r="E60" s="152">
        <v>2</v>
      </c>
      <c r="F60" s="152"/>
      <c r="G60" s="152">
        <v>3</v>
      </c>
      <c r="H60" s="152"/>
      <c r="I60" s="152">
        <v>1</v>
      </c>
      <c r="J60" s="152">
        <v>0</v>
      </c>
      <c r="K60" s="152"/>
      <c r="L60" s="152"/>
      <c r="M60" s="153"/>
      <c r="N60" s="153"/>
      <c r="O60" s="153"/>
      <c r="P60" s="153"/>
      <c r="Q60" s="153">
        <v>9119</v>
      </c>
      <c r="R60" s="153">
        <v>10330</v>
      </c>
      <c r="S60" s="155"/>
      <c r="T60" s="155"/>
      <c r="U60" s="155"/>
      <c r="V60" s="155"/>
      <c r="W60" s="152"/>
      <c r="X60" s="152"/>
      <c r="Y60" s="152"/>
      <c r="Z60" s="152"/>
      <c r="AA60" s="152"/>
      <c r="AB60" s="152"/>
      <c r="AC60" s="152"/>
      <c r="AD60" s="152"/>
      <c r="AE60" s="152"/>
      <c r="AF60" s="152"/>
      <c r="AG60" s="152"/>
      <c r="AH60" s="152"/>
      <c r="AI60" s="152"/>
      <c r="AJ60" s="152"/>
      <c r="AK60" s="152"/>
      <c r="AL60" s="152"/>
      <c r="AM60" s="152"/>
      <c r="AN60" s="152"/>
      <c r="AO60" s="152"/>
      <c r="AP60" s="152"/>
      <c r="AQ60" s="137"/>
      <c r="AR60" s="137"/>
      <c r="AS60" s="137"/>
      <c r="AT60" s="137"/>
    </row>
    <row r="61" spans="1:46" ht="15.75" x14ac:dyDescent="0.25">
      <c r="A61" s="159" t="s">
        <v>803</v>
      </c>
      <c r="B61" s="160">
        <v>18</v>
      </c>
      <c r="C61" s="152">
        <f t="shared" si="14"/>
        <v>15.25</v>
      </c>
      <c r="D61" s="160"/>
      <c r="E61" s="161">
        <v>1.25</v>
      </c>
      <c r="F61" s="161">
        <v>1</v>
      </c>
      <c r="G61" s="161">
        <v>6</v>
      </c>
      <c r="H61" s="161">
        <v>5</v>
      </c>
      <c r="I61" s="161">
        <v>8</v>
      </c>
      <c r="J61" s="161">
        <v>7</v>
      </c>
      <c r="K61" s="161"/>
      <c r="L61" s="160"/>
      <c r="M61" s="162"/>
      <c r="N61" s="162">
        <v>16</v>
      </c>
      <c r="O61" s="162"/>
      <c r="P61" s="162"/>
      <c r="Q61" s="153">
        <v>399</v>
      </c>
      <c r="R61" s="153">
        <v>414</v>
      </c>
      <c r="S61" s="155"/>
      <c r="T61" s="155"/>
      <c r="U61" s="155"/>
      <c r="V61" s="155"/>
      <c r="W61" s="154">
        <f t="shared" ref="W61" si="64">SUM(Y61,AR61)</f>
        <v>2165.8145366015206</v>
      </c>
      <c r="X61" s="154">
        <f t="shared" ref="X61" si="65">SUM(Z61,AT61)</f>
        <v>1765.0986325999997</v>
      </c>
      <c r="Y61" s="154">
        <f t="shared" ref="Y61:Y62" si="66">SUM(AB61,AF61,AJ61,AN61)</f>
        <v>2165.8145366015206</v>
      </c>
      <c r="Z61" s="154">
        <f t="shared" ref="Z61:Z62" si="67">SUM(AD61,AH61,AL61,AP61)</f>
        <v>1765.0986325999997</v>
      </c>
      <c r="AA61" s="154">
        <v>50294</v>
      </c>
      <c r="AB61" s="154">
        <f t="shared" ref="AB61:AB62" si="68">AD61/AC61*AA61</f>
        <v>111.90324607130231</v>
      </c>
      <c r="AC61" s="154">
        <v>101820</v>
      </c>
      <c r="AD61" s="154">
        <f>226547.67/1000</f>
        <v>226.54767000000001</v>
      </c>
      <c r="AE61" s="154">
        <v>301.3</v>
      </c>
      <c r="AF61" s="154">
        <f t="shared" ref="AF61:AF62" si="69">AH61/AG61*AE61</f>
        <v>1522.8774731896551</v>
      </c>
      <c r="AG61" s="154">
        <v>208.8</v>
      </c>
      <c r="AH61" s="154">
        <f>1055349.54/1000</f>
        <v>1055.3495399999999</v>
      </c>
      <c r="AI61" s="154">
        <f>687.6+850.8</f>
        <v>1538.4</v>
      </c>
      <c r="AJ61" s="154">
        <f t="shared" ref="AJ61:AJ62" si="70">AL61/AK61*AI61</f>
        <v>412.23856934056283</v>
      </c>
      <c r="AK61" s="154">
        <f>872.28+527.55</f>
        <v>1399.83</v>
      </c>
      <c r="AL61" s="154">
        <f>(191040.44+184066.11)/1000</f>
        <v>375.10654999999997</v>
      </c>
      <c r="AM61" s="154">
        <f>AI61</f>
        <v>1538.4</v>
      </c>
      <c r="AN61" s="154">
        <f t="shared" ref="AN61:AN62" si="71">AP61/AO61*AM61</f>
        <v>118.795248</v>
      </c>
      <c r="AO61" s="154">
        <v>1399.83</v>
      </c>
      <c r="AP61" s="154">
        <f>AO61*77.22/1000</f>
        <v>108.09487259999999</v>
      </c>
      <c r="AQ61" s="139"/>
      <c r="AR61" s="139"/>
      <c r="AS61" s="139"/>
      <c r="AT61" s="139"/>
    </row>
    <row r="62" spans="1:46" ht="26.25" x14ac:dyDescent="0.25">
      <c r="A62" s="159" t="s">
        <v>804</v>
      </c>
      <c r="B62" s="160">
        <v>63</v>
      </c>
      <c r="C62" s="152">
        <f t="shared" si="14"/>
        <v>24</v>
      </c>
      <c r="D62" s="160"/>
      <c r="E62" s="161">
        <f>4-0.5</f>
        <v>3.5</v>
      </c>
      <c r="F62" s="161">
        <v>2</v>
      </c>
      <c r="G62" s="161">
        <f>8-1</f>
        <v>7</v>
      </c>
      <c r="H62" s="161">
        <v>7</v>
      </c>
      <c r="I62" s="161">
        <v>13.5</v>
      </c>
      <c r="J62" s="161">
        <v>10</v>
      </c>
      <c r="K62" s="161"/>
      <c r="L62" s="160"/>
      <c r="M62" s="162"/>
      <c r="N62" s="162">
        <v>20</v>
      </c>
      <c r="O62" s="162"/>
      <c r="P62" s="162">
        <v>10</v>
      </c>
      <c r="Q62" s="153">
        <v>1181</v>
      </c>
      <c r="R62" s="153">
        <v>1136</v>
      </c>
      <c r="S62" s="155"/>
      <c r="T62" s="155"/>
      <c r="U62" s="155"/>
      <c r="V62" s="155"/>
      <c r="W62" s="154">
        <f>28728.04</f>
        <v>28728.04</v>
      </c>
      <c r="X62" s="154">
        <f>28728.04</f>
        <v>28728.04</v>
      </c>
      <c r="Y62" s="154">
        <f t="shared" si="66"/>
        <v>2307.6725151733644</v>
      </c>
      <c r="Z62" s="154">
        <f t="shared" si="67"/>
        <v>1956.6604066</v>
      </c>
      <c r="AA62" s="154">
        <v>31100</v>
      </c>
      <c r="AB62" s="154">
        <f t="shared" si="68"/>
        <v>150.67648710436274</v>
      </c>
      <c r="AC62" s="154">
        <v>46760</v>
      </c>
      <c r="AD62" s="154">
        <f>226547.67/1000</f>
        <v>226.54767000000001</v>
      </c>
      <c r="AE62" s="154">
        <v>303.60000000000002</v>
      </c>
      <c r="AF62" s="154">
        <f t="shared" si="69"/>
        <v>1534.5011333214889</v>
      </c>
      <c r="AG62" s="154">
        <v>225.14</v>
      </c>
      <c r="AH62" s="154">
        <f>1137936.71/1000</f>
        <v>1137.9367099999999</v>
      </c>
      <c r="AI62" s="154">
        <v>3128.4</v>
      </c>
      <c r="AJ62" s="154">
        <f t="shared" si="70"/>
        <v>380.91984674751262</v>
      </c>
      <c r="AK62" s="154">
        <v>2976.03</v>
      </c>
      <c r="AL62" s="154">
        <f>362366.99/1000</f>
        <v>362.36698999999999</v>
      </c>
      <c r="AM62" s="154">
        <f>AI62</f>
        <v>3128.4</v>
      </c>
      <c r="AN62" s="154">
        <f t="shared" si="71"/>
        <v>241.57504800000001</v>
      </c>
      <c r="AO62" s="154">
        <v>2976.03</v>
      </c>
      <c r="AP62" s="154">
        <f>AO62*77.22/1000</f>
        <v>229.80903660000001</v>
      </c>
      <c r="AQ62" s="140"/>
      <c r="AR62" s="140"/>
      <c r="AS62" s="140"/>
      <c r="AT62" s="140"/>
    </row>
    <row r="63" spans="1:46" ht="26.25" x14ac:dyDescent="0.25">
      <c r="A63" s="159" t="s">
        <v>805</v>
      </c>
      <c r="B63" s="160">
        <v>125</v>
      </c>
      <c r="C63" s="152">
        <f t="shared" si="14"/>
        <v>1.5</v>
      </c>
      <c r="D63" s="160"/>
      <c r="E63" s="161">
        <v>0.5</v>
      </c>
      <c r="F63" s="161"/>
      <c r="G63" s="161">
        <v>1</v>
      </c>
      <c r="H63" s="161"/>
      <c r="I63" s="161"/>
      <c r="J63" s="161"/>
      <c r="K63" s="161"/>
      <c r="L63" s="160"/>
      <c r="M63" s="162"/>
      <c r="N63" s="162"/>
      <c r="O63" s="162"/>
      <c r="P63" s="162"/>
      <c r="Q63" s="153">
        <v>26711</v>
      </c>
      <c r="R63" s="153">
        <v>25369</v>
      </c>
      <c r="S63" s="155"/>
      <c r="T63" s="155"/>
      <c r="U63" s="155"/>
      <c r="V63" s="155"/>
      <c r="W63" s="160"/>
      <c r="X63" s="160"/>
      <c r="Y63" s="160"/>
      <c r="Z63" s="160"/>
      <c r="AA63" s="160"/>
      <c r="AB63" s="160"/>
      <c r="AC63" s="160"/>
      <c r="AD63" s="160"/>
      <c r="AE63" s="160"/>
      <c r="AF63" s="160"/>
      <c r="AG63" s="160"/>
      <c r="AH63" s="160"/>
      <c r="AI63" s="160"/>
      <c r="AJ63" s="160"/>
      <c r="AK63" s="160"/>
      <c r="AL63" s="160"/>
      <c r="AM63" s="160"/>
      <c r="AN63" s="160"/>
      <c r="AO63" s="160"/>
      <c r="AP63" s="160"/>
      <c r="AQ63" s="139"/>
      <c r="AR63" s="139"/>
      <c r="AS63" s="139"/>
      <c r="AT63" s="139"/>
    </row>
    <row r="64" spans="1:46" ht="15.75" x14ac:dyDescent="0.25">
      <c r="A64" s="159" t="s">
        <v>806</v>
      </c>
      <c r="B64" s="160"/>
      <c r="C64" s="152">
        <f t="shared" si="14"/>
        <v>0</v>
      </c>
      <c r="D64" s="160"/>
      <c r="E64" s="161"/>
      <c r="F64" s="161"/>
      <c r="G64" s="161"/>
      <c r="H64" s="161"/>
      <c r="I64" s="161"/>
      <c r="J64" s="161"/>
      <c r="K64" s="161"/>
      <c r="L64" s="160"/>
      <c r="M64" s="162"/>
      <c r="N64" s="162"/>
      <c r="O64" s="162"/>
      <c r="P64" s="162"/>
      <c r="Q64" s="162"/>
      <c r="R64" s="162"/>
      <c r="S64" s="155"/>
      <c r="T64" s="155"/>
      <c r="U64" s="155"/>
      <c r="V64" s="155"/>
      <c r="W64" s="160"/>
      <c r="X64" s="160"/>
      <c r="Y64" s="160"/>
      <c r="Z64" s="160"/>
      <c r="AA64" s="160"/>
      <c r="AB64" s="160"/>
      <c r="AC64" s="160"/>
      <c r="AD64" s="160"/>
      <c r="AE64" s="160"/>
      <c r="AF64" s="160"/>
      <c r="AG64" s="160"/>
      <c r="AH64" s="160"/>
      <c r="AI64" s="160"/>
      <c r="AJ64" s="160"/>
      <c r="AK64" s="160"/>
      <c r="AL64" s="160"/>
      <c r="AM64" s="160"/>
      <c r="AN64" s="160"/>
      <c r="AO64" s="160"/>
      <c r="AP64" s="160"/>
      <c r="AQ64" s="139"/>
      <c r="AR64" s="139"/>
      <c r="AS64" s="139"/>
      <c r="AT64" s="139"/>
    </row>
    <row r="65" spans="1:46" ht="15.75" x14ac:dyDescent="0.25">
      <c r="A65" s="159" t="s">
        <v>807</v>
      </c>
      <c r="B65" s="160"/>
      <c r="C65" s="152">
        <f t="shared" si="14"/>
        <v>0</v>
      </c>
      <c r="D65" s="160"/>
      <c r="E65" s="161"/>
      <c r="F65" s="161"/>
      <c r="G65" s="161"/>
      <c r="H65" s="161"/>
      <c r="I65" s="161"/>
      <c r="J65" s="161"/>
      <c r="K65" s="161"/>
      <c r="L65" s="160"/>
      <c r="M65" s="162"/>
      <c r="N65" s="162"/>
      <c r="O65" s="162"/>
      <c r="P65" s="162"/>
      <c r="Q65" s="162"/>
      <c r="R65" s="162"/>
      <c r="S65" s="155"/>
      <c r="T65" s="155"/>
      <c r="U65" s="155"/>
      <c r="V65" s="155"/>
      <c r="W65" s="160"/>
      <c r="X65" s="160"/>
      <c r="Y65" s="160"/>
      <c r="Z65" s="160"/>
      <c r="AA65" s="160"/>
      <c r="AB65" s="160"/>
      <c r="AC65" s="160"/>
      <c r="AD65" s="160"/>
      <c r="AE65" s="160"/>
      <c r="AF65" s="160"/>
      <c r="AG65" s="160"/>
      <c r="AH65" s="160"/>
      <c r="AI65" s="160"/>
      <c r="AJ65" s="160"/>
      <c r="AK65" s="160"/>
      <c r="AL65" s="160"/>
      <c r="AM65" s="160"/>
      <c r="AN65" s="160"/>
      <c r="AO65" s="160"/>
      <c r="AP65" s="160"/>
      <c r="AQ65" s="139"/>
      <c r="AR65" s="139"/>
      <c r="AS65" s="139"/>
      <c r="AT65" s="139"/>
    </row>
    <row r="66" spans="1:46" ht="15.75" x14ac:dyDescent="0.25">
      <c r="A66" s="159" t="s">
        <v>808</v>
      </c>
      <c r="B66" s="160"/>
      <c r="C66" s="152">
        <f t="shared" si="14"/>
        <v>0</v>
      </c>
      <c r="D66" s="160"/>
      <c r="E66" s="161"/>
      <c r="F66" s="161"/>
      <c r="G66" s="161"/>
      <c r="H66" s="161"/>
      <c r="I66" s="161"/>
      <c r="J66" s="161"/>
      <c r="K66" s="161"/>
      <c r="L66" s="160"/>
      <c r="M66" s="162"/>
      <c r="N66" s="162"/>
      <c r="O66" s="162"/>
      <c r="P66" s="162"/>
      <c r="Q66" s="162"/>
      <c r="R66" s="162"/>
      <c r="S66" s="155"/>
      <c r="T66" s="155"/>
      <c r="U66" s="155"/>
      <c r="V66" s="155"/>
      <c r="W66" s="160"/>
      <c r="X66" s="160"/>
      <c r="Y66" s="160"/>
      <c r="Z66" s="160"/>
      <c r="AA66" s="160"/>
      <c r="AB66" s="160"/>
      <c r="AC66" s="160"/>
      <c r="AD66" s="160"/>
      <c r="AE66" s="160"/>
      <c r="AF66" s="160"/>
      <c r="AG66" s="160"/>
      <c r="AH66" s="160"/>
      <c r="AI66" s="160"/>
      <c r="AJ66" s="160"/>
      <c r="AK66" s="160"/>
      <c r="AL66" s="160"/>
      <c r="AM66" s="160"/>
      <c r="AN66" s="160"/>
      <c r="AO66" s="160"/>
      <c r="AP66" s="160"/>
      <c r="AQ66" s="139"/>
      <c r="AR66" s="139"/>
      <c r="AS66" s="139"/>
      <c r="AT66" s="139"/>
    </row>
    <row r="67" spans="1:46" ht="15.75" x14ac:dyDescent="0.25">
      <c r="A67" s="159" t="s">
        <v>809</v>
      </c>
      <c r="B67" s="160"/>
      <c r="C67" s="152">
        <f t="shared" si="14"/>
        <v>0</v>
      </c>
      <c r="D67" s="160"/>
      <c r="E67" s="161"/>
      <c r="F67" s="161"/>
      <c r="G67" s="161"/>
      <c r="H67" s="161"/>
      <c r="I67" s="161"/>
      <c r="J67" s="161"/>
      <c r="K67" s="161"/>
      <c r="L67" s="160"/>
      <c r="M67" s="162"/>
      <c r="N67" s="162"/>
      <c r="O67" s="162"/>
      <c r="P67" s="162"/>
      <c r="Q67" s="162"/>
      <c r="R67" s="162"/>
      <c r="S67" s="155"/>
      <c r="T67" s="155"/>
      <c r="U67" s="155"/>
      <c r="V67" s="155"/>
      <c r="W67" s="160"/>
      <c r="X67" s="160"/>
      <c r="Y67" s="160"/>
      <c r="Z67" s="160"/>
      <c r="AA67" s="160"/>
      <c r="AB67" s="160"/>
      <c r="AC67" s="160"/>
      <c r="AD67" s="160"/>
      <c r="AE67" s="160"/>
      <c r="AF67" s="160"/>
      <c r="AG67" s="160"/>
      <c r="AH67" s="160"/>
      <c r="AI67" s="160"/>
      <c r="AJ67" s="160"/>
      <c r="AK67" s="160"/>
      <c r="AL67" s="160"/>
      <c r="AM67" s="160"/>
      <c r="AN67" s="160"/>
      <c r="AO67" s="160"/>
      <c r="AP67" s="160"/>
      <c r="AQ67" s="139"/>
      <c r="AR67" s="139"/>
      <c r="AS67" s="139"/>
      <c r="AT67" s="139"/>
    </row>
    <row r="68" spans="1:46" ht="15.75" x14ac:dyDescent="0.25">
      <c r="A68" s="159" t="s">
        <v>810</v>
      </c>
      <c r="B68" s="160"/>
      <c r="C68" s="152">
        <f t="shared" si="14"/>
        <v>0</v>
      </c>
      <c r="D68" s="160"/>
      <c r="E68" s="161"/>
      <c r="F68" s="161"/>
      <c r="G68" s="161"/>
      <c r="H68" s="161"/>
      <c r="I68" s="161"/>
      <c r="J68" s="161"/>
      <c r="K68" s="161"/>
      <c r="L68" s="160"/>
      <c r="M68" s="162"/>
      <c r="N68" s="162"/>
      <c r="O68" s="162"/>
      <c r="P68" s="162"/>
      <c r="Q68" s="162"/>
      <c r="R68" s="162"/>
      <c r="S68" s="155"/>
      <c r="T68" s="155"/>
      <c r="U68" s="155"/>
      <c r="V68" s="155"/>
      <c r="W68" s="160"/>
      <c r="X68" s="160"/>
      <c r="Y68" s="160"/>
      <c r="Z68" s="160"/>
      <c r="AA68" s="160"/>
      <c r="AB68" s="160"/>
      <c r="AC68" s="160"/>
      <c r="AD68" s="160"/>
      <c r="AE68" s="160"/>
      <c r="AF68" s="160"/>
      <c r="AG68" s="160"/>
      <c r="AH68" s="160"/>
      <c r="AI68" s="160"/>
      <c r="AJ68" s="160"/>
      <c r="AK68" s="160"/>
      <c r="AL68" s="160"/>
      <c r="AM68" s="160"/>
      <c r="AN68" s="160"/>
      <c r="AO68" s="160"/>
      <c r="AP68" s="160"/>
      <c r="AQ68" s="139"/>
      <c r="AR68" s="139"/>
      <c r="AS68" s="139"/>
      <c r="AT68" s="139"/>
    </row>
    <row r="69" spans="1:46" ht="15.75" x14ac:dyDescent="0.25">
      <c r="A69" s="159" t="s">
        <v>811</v>
      </c>
      <c r="B69" s="160"/>
      <c r="C69" s="152">
        <f t="shared" si="14"/>
        <v>0</v>
      </c>
      <c r="D69" s="160"/>
      <c r="E69" s="161"/>
      <c r="F69" s="161"/>
      <c r="G69" s="161"/>
      <c r="H69" s="161"/>
      <c r="I69" s="161"/>
      <c r="J69" s="161"/>
      <c r="K69" s="161"/>
      <c r="L69" s="160"/>
      <c r="M69" s="162"/>
      <c r="N69" s="162"/>
      <c r="O69" s="162"/>
      <c r="P69" s="162"/>
      <c r="Q69" s="162"/>
      <c r="R69" s="162"/>
      <c r="S69" s="155"/>
      <c r="T69" s="155"/>
      <c r="U69" s="155"/>
      <c r="V69" s="155"/>
      <c r="W69" s="160"/>
      <c r="X69" s="160"/>
      <c r="Y69" s="160"/>
      <c r="Z69" s="160"/>
      <c r="AA69" s="160"/>
      <c r="AB69" s="160"/>
      <c r="AC69" s="160"/>
      <c r="AD69" s="160"/>
      <c r="AE69" s="160"/>
      <c r="AF69" s="160"/>
      <c r="AG69" s="160"/>
      <c r="AH69" s="160"/>
      <c r="AI69" s="160"/>
      <c r="AJ69" s="160"/>
      <c r="AK69" s="160"/>
      <c r="AL69" s="160"/>
      <c r="AM69" s="160"/>
      <c r="AN69" s="160"/>
      <c r="AO69" s="160"/>
      <c r="AP69" s="160"/>
      <c r="AQ69" s="139"/>
      <c r="AR69" s="139"/>
      <c r="AS69" s="139"/>
      <c r="AT69" s="139"/>
    </row>
    <row r="70" spans="1:46" ht="15.75" x14ac:dyDescent="0.25">
      <c r="A70" s="159" t="s">
        <v>812</v>
      </c>
      <c r="B70" s="160"/>
      <c r="C70" s="152">
        <f t="shared" si="14"/>
        <v>0</v>
      </c>
      <c r="D70" s="160"/>
      <c r="E70" s="161"/>
      <c r="F70" s="161"/>
      <c r="G70" s="161"/>
      <c r="H70" s="161"/>
      <c r="I70" s="161"/>
      <c r="J70" s="161"/>
      <c r="K70" s="161"/>
      <c r="L70" s="160"/>
      <c r="M70" s="162"/>
      <c r="N70" s="162"/>
      <c r="O70" s="162"/>
      <c r="P70" s="162"/>
      <c r="Q70" s="162"/>
      <c r="R70" s="162"/>
      <c r="S70" s="155"/>
      <c r="T70" s="155"/>
      <c r="U70" s="155"/>
      <c r="V70" s="155"/>
      <c r="W70" s="160"/>
      <c r="X70" s="160"/>
      <c r="Y70" s="160"/>
      <c r="Z70" s="160"/>
      <c r="AA70" s="160"/>
      <c r="AB70" s="160"/>
      <c r="AC70" s="160"/>
      <c r="AD70" s="160"/>
      <c r="AE70" s="160"/>
      <c r="AF70" s="160"/>
      <c r="AG70" s="160"/>
      <c r="AH70" s="160"/>
      <c r="AI70" s="160"/>
      <c r="AJ70" s="160"/>
      <c r="AK70" s="160"/>
      <c r="AL70" s="160"/>
      <c r="AM70" s="160"/>
      <c r="AN70" s="160"/>
      <c r="AO70" s="160"/>
      <c r="AP70" s="160"/>
      <c r="AQ70" s="139"/>
      <c r="AR70" s="139"/>
      <c r="AS70" s="139"/>
      <c r="AT70" s="139"/>
    </row>
    <row r="71" spans="1:46" x14ac:dyDescent="0.25">
      <c r="A71" s="142"/>
    </row>
  </sheetData>
  <mergeCells count="55">
    <mergeCell ref="A4:A7"/>
    <mergeCell ref="B4:B7"/>
    <mergeCell ref="C5:C7"/>
    <mergeCell ref="D5:D7"/>
    <mergeCell ref="E5:E7"/>
    <mergeCell ref="AK6:AL6"/>
    <mergeCell ref="AM6:AN6"/>
    <mergeCell ref="AO6:AP6"/>
    <mergeCell ref="AT6:AT7"/>
    <mergeCell ref="D1:H1"/>
    <mergeCell ref="D2:F2"/>
    <mergeCell ref="D3:F3"/>
    <mergeCell ref="Q4:R4"/>
    <mergeCell ref="K4:L4"/>
    <mergeCell ref="I4:J4"/>
    <mergeCell ref="M4:P4"/>
    <mergeCell ref="C4:D4"/>
    <mergeCell ref="E4:F4"/>
    <mergeCell ref="G4:H4"/>
    <mergeCell ref="AR6:AR7"/>
    <mergeCell ref="AS6:AS7"/>
    <mergeCell ref="Y4:AP4"/>
    <mergeCell ref="AQ4:AT4"/>
    <mergeCell ref="AA5:AD5"/>
    <mergeCell ref="AE5:AH5"/>
    <mergeCell ref="AI5:AL5"/>
    <mergeCell ref="AM5:AP5"/>
    <mergeCell ref="AQ5:AR5"/>
    <mergeCell ref="AS5:AT5"/>
    <mergeCell ref="AA6:AB6"/>
    <mergeCell ref="AC6:AD6"/>
    <mergeCell ref="AE6:AF6"/>
    <mergeCell ref="AG6:AH6"/>
    <mergeCell ref="AI6:AJ6"/>
    <mergeCell ref="AQ6:AQ7"/>
    <mergeCell ref="F5:F7"/>
    <mergeCell ref="G5:G7"/>
    <mergeCell ref="H5:H7"/>
    <mergeCell ref="I5:I7"/>
    <mergeCell ref="J5:J7"/>
    <mergeCell ref="P6:P7"/>
    <mergeCell ref="Q5:Q7"/>
    <mergeCell ref="Y5:Z6"/>
    <mergeCell ref="W4:X6"/>
    <mergeCell ref="K5:K7"/>
    <mergeCell ref="L5:L7"/>
    <mergeCell ref="M6:M7"/>
    <mergeCell ref="N6:N7"/>
    <mergeCell ref="O6:O7"/>
    <mergeCell ref="M5:N5"/>
    <mergeCell ref="O5:P5"/>
    <mergeCell ref="R5:R7"/>
    <mergeCell ref="S4:V4"/>
    <mergeCell ref="S5:T5"/>
    <mergeCell ref="U5:V5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00B0F0"/>
  </sheetPr>
  <dimension ref="A1:AR22"/>
  <sheetViews>
    <sheetView workbookViewId="0">
      <selection activeCell="A4" sqref="A4:AR7"/>
    </sheetView>
  </sheetViews>
  <sheetFormatPr defaultRowHeight="15" x14ac:dyDescent="0.25"/>
  <cols>
    <col min="1" max="1" width="17.7109375" customWidth="1"/>
    <col min="8" max="8" width="8.5703125" customWidth="1"/>
    <col min="9" max="10" width="8.5703125" style="66" customWidth="1"/>
    <col min="21" max="21" width="7.140625" hidden="1" customWidth="1"/>
    <col min="22" max="22" width="5.7109375" hidden="1" customWidth="1"/>
    <col min="23" max="23" width="7.7109375" customWidth="1"/>
    <col min="24" max="40" width="6.7109375" customWidth="1"/>
    <col min="41" max="44" width="7.5703125" customWidth="1"/>
  </cols>
  <sheetData>
    <row r="1" spans="1:44" s="87" customFormat="1" ht="18" customHeight="1" x14ac:dyDescent="0.25">
      <c r="A1" s="266" t="s">
        <v>134</v>
      </c>
      <c r="B1" s="266"/>
      <c r="C1" s="266"/>
      <c r="D1" s="266"/>
      <c r="E1" s="266"/>
      <c r="F1" s="266"/>
      <c r="G1" s="266"/>
      <c r="H1" s="266"/>
      <c r="I1" s="266"/>
      <c r="J1" s="266"/>
      <c r="K1" s="266"/>
      <c r="L1" s="266"/>
      <c r="M1" s="266"/>
      <c r="N1" s="266"/>
      <c r="O1" s="266"/>
      <c r="P1" s="266"/>
      <c r="Q1" s="266"/>
      <c r="R1" s="266"/>
      <c r="S1" s="266"/>
      <c r="T1" s="266"/>
    </row>
    <row r="2" spans="1:44" s="87" customFormat="1" x14ac:dyDescent="0.25">
      <c r="A2" s="85"/>
      <c r="B2" s="260" t="s">
        <v>896</v>
      </c>
      <c r="C2" s="260"/>
      <c r="D2" s="260"/>
      <c r="E2" s="260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</row>
    <row r="3" spans="1:44" s="87" customFormat="1" x14ac:dyDescent="0.25">
      <c r="A3" s="84"/>
      <c r="B3" s="260" t="s">
        <v>587</v>
      </c>
      <c r="C3" s="260"/>
      <c r="D3" s="260"/>
      <c r="E3" s="260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</row>
    <row r="4" spans="1:44" s="87" customFormat="1" ht="27" customHeight="1" x14ac:dyDescent="0.25">
      <c r="A4" s="290" t="s">
        <v>135</v>
      </c>
      <c r="B4" s="290" t="s">
        <v>118</v>
      </c>
      <c r="C4" s="290" t="s">
        <v>136</v>
      </c>
      <c r="D4" s="290" t="s">
        <v>568</v>
      </c>
      <c r="E4" s="290" t="s">
        <v>567</v>
      </c>
      <c r="F4" s="290" t="s">
        <v>137</v>
      </c>
      <c r="G4" s="290" t="s">
        <v>138</v>
      </c>
      <c r="H4" s="290" t="s">
        <v>139</v>
      </c>
      <c r="I4" s="290"/>
      <c r="J4" s="290"/>
      <c r="K4" s="290" t="s">
        <v>100</v>
      </c>
      <c r="L4" s="290"/>
      <c r="M4" s="290" t="s">
        <v>465</v>
      </c>
      <c r="N4" s="290"/>
      <c r="O4" s="290" t="s">
        <v>466</v>
      </c>
      <c r="P4" s="290"/>
      <c r="Q4" s="290"/>
      <c r="R4" s="290"/>
      <c r="S4" s="290" t="s">
        <v>462</v>
      </c>
      <c r="T4" s="290"/>
      <c r="U4" s="290" t="s">
        <v>507</v>
      </c>
      <c r="V4" s="290"/>
      <c r="W4" s="291" t="s">
        <v>497</v>
      </c>
      <c r="X4" s="291"/>
      <c r="Y4" s="291"/>
      <c r="Z4" s="291"/>
      <c r="AA4" s="291"/>
      <c r="AB4" s="291"/>
      <c r="AC4" s="291"/>
      <c r="AD4" s="291"/>
      <c r="AE4" s="291"/>
      <c r="AF4" s="291"/>
      <c r="AG4" s="291"/>
      <c r="AH4" s="291"/>
      <c r="AI4" s="291"/>
      <c r="AJ4" s="291"/>
      <c r="AK4" s="291"/>
      <c r="AL4" s="291"/>
      <c r="AM4" s="291"/>
      <c r="AN4" s="291"/>
      <c r="AO4" s="291" t="s">
        <v>503</v>
      </c>
      <c r="AP4" s="291"/>
      <c r="AQ4" s="291"/>
      <c r="AR4" s="291"/>
    </row>
    <row r="5" spans="1:44" s="87" customFormat="1" ht="15" customHeight="1" x14ac:dyDescent="0.25">
      <c r="A5" s="290"/>
      <c r="B5" s="290"/>
      <c r="C5" s="290"/>
      <c r="D5" s="290"/>
      <c r="E5" s="290"/>
      <c r="F5" s="290"/>
      <c r="G5" s="290"/>
      <c r="H5" s="290"/>
      <c r="I5" s="290"/>
      <c r="J5" s="290"/>
      <c r="K5" s="290" t="s">
        <v>122</v>
      </c>
      <c r="L5" s="290" t="s">
        <v>103</v>
      </c>
      <c r="M5" s="290" t="s">
        <v>122</v>
      </c>
      <c r="N5" s="290" t="s">
        <v>103</v>
      </c>
      <c r="O5" s="290" t="s">
        <v>123</v>
      </c>
      <c r="P5" s="290"/>
      <c r="Q5" s="290" t="s">
        <v>140</v>
      </c>
      <c r="R5" s="290"/>
      <c r="S5" s="290" t="s">
        <v>122</v>
      </c>
      <c r="T5" s="290" t="s">
        <v>103</v>
      </c>
      <c r="U5" s="290"/>
      <c r="V5" s="290"/>
      <c r="W5" s="290" t="s">
        <v>506</v>
      </c>
      <c r="X5" s="290"/>
      <c r="Y5" s="291" t="s">
        <v>495</v>
      </c>
      <c r="Z5" s="291"/>
      <c r="AA5" s="291"/>
      <c r="AB5" s="291"/>
      <c r="AC5" s="291" t="s">
        <v>498</v>
      </c>
      <c r="AD5" s="291"/>
      <c r="AE5" s="291"/>
      <c r="AF5" s="291"/>
      <c r="AG5" s="291" t="s">
        <v>505</v>
      </c>
      <c r="AH5" s="291"/>
      <c r="AI5" s="291"/>
      <c r="AJ5" s="291"/>
      <c r="AK5" s="291" t="s">
        <v>501</v>
      </c>
      <c r="AL5" s="291"/>
      <c r="AM5" s="291"/>
      <c r="AN5" s="291"/>
      <c r="AO5" s="291" t="s">
        <v>490</v>
      </c>
      <c r="AP5" s="291"/>
      <c r="AQ5" s="291" t="s">
        <v>491</v>
      </c>
      <c r="AR5" s="291"/>
    </row>
    <row r="6" spans="1:44" s="87" customFormat="1" x14ac:dyDescent="0.25">
      <c r="A6" s="290"/>
      <c r="B6" s="290"/>
      <c r="C6" s="290"/>
      <c r="D6" s="290"/>
      <c r="E6" s="290"/>
      <c r="F6" s="290"/>
      <c r="G6" s="290"/>
      <c r="H6" s="290"/>
      <c r="I6" s="290"/>
      <c r="J6" s="290"/>
      <c r="K6" s="290"/>
      <c r="L6" s="290"/>
      <c r="M6" s="290"/>
      <c r="N6" s="290"/>
      <c r="O6" s="290" t="s">
        <v>122</v>
      </c>
      <c r="P6" s="290" t="s">
        <v>103</v>
      </c>
      <c r="Q6" s="290" t="s">
        <v>107</v>
      </c>
      <c r="R6" s="290" t="s">
        <v>103</v>
      </c>
      <c r="S6" s="290"/>
      <c r="T6" s="290"/>
      <c r="U6" s="290"/>
      <c r="V6" s="290"/>
      <c r="W6" s="290"/>
      <c r="X6" s="290"/>
      <c r="Y6" s="291" t="s">
        <v>496</v>
      </c>
      <c r="Z6" s="291"/>
      <c r="AA6" s="291" t="s">
        <v>491</v>
      </c>
      <c r="AB6" s="291"/>
      <c r="AC6" s="291" t="s">
        <v>496</v>
      </c>
      <c r="AD6" s="291"/>
      <c r="AE6" s="291" t="s">
        <v>491</v>
      </c>
      <c r="AF6" s="291"/>
      <c r="AG6" s="291" t="s">
        <v>496</v>
      </c>
      <c r="AH6" s="291"/>
      <c r="AI6" s="291" t="s">
        <v>491</v>
      </c>
      <c r="AJ6" s="291"/>
      <c r="AK6" s="291" t="s">
        <v>496</v>
      </c>
      <c r="AL6" s="291"/>
      <c r="AM6" s="291" t="s">
        <v>491</v>
      </c>
      <c r="AN6" s="291"/>
      <c r="AO6" s="291" t="s">
        <v>502</v>
      </c>
      <c r="AP6" s="291" t="s">
        <v>500</v>
      </c>
      <c r="AQ6" s="291" t="s">
        <v>502</v>
      </c>
      <c r="AR6" s="291" t="s">
        <v>500</v>
      </c>
    </row>
    <row r="7" spans="1:44" s="87" customFormat="1" ht="84" x14ac:dyDescent="0.25">
      <c r="A7" s="290"/>
      <c r="B7" s="290"/>
      <c r="C7" s="290"/>
      <c r="D7" s="290"/>
      <c r="E7" s="290"/>
      <c r="F7" s="290"/>
      <c r="G7" s="290"/>
      <c r="H7" s="292" t="s">
        <v>569</v>
      </c>
      <c r="I7" s="292" t="s">
        <v>570</v>
      </c>
      <c r="J7" s="292" t="s">
        <v>571</v>
      </c>
      <c r="K7" s="290"/>
      <c r="L7" s="290"/>
      <c r="M7" s="290"/>
      <c r="N7" s="290"/>
      <c r="O7" s="290"/>
      <c r="P7" s="290"/>
      <c r="Q7" s="290"/>
      <c r="R7" s="290"/>
      <c r="S7" s="290"/>
      <c r="T7" s="290"/>
      <c r="U7" s="292" t="s">
        <v>490</v>
      </c>
      <c r="V7" s="292" t="s">
        <v>491</v>
      </c>
      <c r="W7" s="292" t="s">
        <v>490</v>
      </c>
      <c r="X7" s="292" t="s">
        <v>491</v>
      </c>
      <c r="Y7" s="293" t="s">
        <v>499</v>
      </c>
      <c r="Z7" s="293" t="s">
        <v>500</v>
      </c>
      <c r="AA7" s="293" t="s">
        <v>499</v>
      </c>
      <c r="AB7" s="293" t="s">
        <v>500</v>
      </c>
      <c r="AC7" s="294" t="s">
        <v>504</v>
      </c>
      <c r="AD7" s="293" t="s">
        <v>500</v>
      </c>
      <c r="AE7" s="294" t="s">
        <v>504</v>
      </c>
      <c r="AF7" s="293" t="s">
        <v>500</v>
      </c>
      <c r="AG7" s="293" t="s">
        <v>502</v>
      </c>
      <c r="AH7" s="293" t="s">
        <v>500</v>
      </c>
      <c r="AI7" s="293" t="s">
        <v>502</v>
      </c>
      <c r="AJ7" s="293" t="s">
        <v>500</v>
      </c>
      <c r="AK7" s="293" t="s">
        <v>502</v>
      </c>
      <c r="AL7" s="293" t="s">
        <v>500</v>
      </c>
      <c r="AM7" s="293" t="s">
        <v>502</v>
      </c>
      <c r="AN7" s="293" t="s">
        <v>500</v>
      </c>
      <c r="AO7" s="291"/>
      <c r="AP7" s="291"/>
      <c r="AQ7" s="291"/>
      <c r="AR7" s="291"/>
    </row>
    <row r="8" spans="1:44" ht="25.5" x14ac:dyDescent="0.25">
      <c r="A8" s="185" t="s">
        <v>594</v>
      </c>
      <c r="B8" s="205"/>
      <c r="C8" s="206"/>
      <c r="D8" s="206">
        <f>SUM(D9:D22)</f>
        <v>2685</v>
      </c>
      <c r="E8" s="206">
        <f>SUM(E9:E22)</f>
        <v>2894</v>
      </c>
      <c r="F8" s="206">
        <f>SUM(F9:F22)</f>
        <v>460366</v>
      </c>
      <c r="G8" s="206">
        <f>SUM(G9:G22)</f>
        <v>123</v>
      </c>
      <c r="H8" s="206"/>
      <c r="I8" s="206"/>
      <c r="J8" s="206"/>
      <c r="K8" s="206">
        <f t="shared" ref="K8:T8" si="0">SUM(K9:K22)</f>
        <v>712.3</v>
      </c>
      <c r="L8" s="206">
        <f t="shared" si="0"/>
        <v>745</v>
      </c>
      <c r="M8" s="206">
        <f t="shared" si="0"/>
        <v>28</v>
      </c>
      <c r="N8" s="206">
        <f t="shared" si="0"/>
        <v>31</v>
      </c>
      <c r="O8" s="206">
        <f t="shared" si="0"/>
        <v>476.5</v>
      </c>
      <c r="P8" s="206">
        <f t="shared" si="0"/>
        <v>499</v>
      </c>
      <c r="Q8" s="206">
        <f t="shared" si="0"/>
        <v>214</v>
      </c>
      <c r="R8" s="206">
        <f t="shared" si="0"/>
        <v>225</v>
      </c>
      <c r="S8" s="206">
        <f t="shared" si="0"/>
        <v>207.8</v>
      </c>
      <c r="T8" s="206">
        <f t="shared" si="0"/>
        <v>215</v>
      </c>
      <c r="U8" s="207"/>
      <c r="V8" s="207"/>
      <c r="W8" s="206">
        <f>SUM(W9:W22)</f>
        <v>102385.06</v>
      </c>
      <c r="X8" s="206">
        <f t="shared" ref="X8:AR8" si="1">SUM(X9:X22)</f>
        <v>58794.523129999994</v>
      </c>
      <c r="Y8" s="206">
        <f t="shared" si="1"/>
        <v>2379.1563416666668</v>
      </c>
      <c r="Z8" s="206">
        <f t="shared" si="1"/>
        <v>12623.2668156</v>
      </c>
      <c r="AA8" s="206">
        <f t="shared" si="1"/>
        <v>1814.06</v>
      </c>
      <c r="AB8" s="206">
        <f t="shared" si="1"/>
        <v>9832.6898000000019</v>
      </c>
      <c r="AC8" s="206">
        <f t="shared" si="1"/>
        <v>12443.369856815691</v>
      </c>
      <c r="AD8" s="206">
        <f t="shared" si="1"/>
        <v>40553.761975115136</v>
      </c>
      <c r="AE8" s="206">
        <f t="shared" si="1"/>
        <v>11455.269999999999</v>
      </c>
      <c r="AF8" s="206">
        <f t="shared" si="1"/>
        <v>35847.529340000001</v>
      </c>
      <c r="AG8" s="206">
        <f t="shared" si="1"/>
        <v>46913.077201099994</v>
      </c>
      <c r="AH8" s="206">
        <f t="shared" si="1"/>
        <v>9837.391710352369</v>
      </c>
      <c r="AI8" s="206">
        <f t="shared" si="1"/>
        <v>44568.56</v>
      </c>
      <c r="AJ8" s="206">
        <f t="shared" si="1"/>
        <v>9567.5292599999993</v>
      </c>
      <c r="AK8" s="206">
        <f t="shared" si="1"/>
        <v>46913.077201099994</v>
      </c>
      <c r="AL8" s="206">
        <f t="shared" si="1"/>
        <v>3870.6285654974286</v>
      </c>
      <c r="AM8" s="206">
        <f t="shared" si="1"/>
        <v>44547.17</v>
      </c>
      <c r="AN8" s="206">
        <f t="shared" si="1"/>
        <v>3546.7747300000001</v>
      </c>
      <c r="AO8" s="208">
        <f t="shared" si="1"/>
        <v>2335.1999999999998</v>
      </c>
      <c r="AP8" s="208">
        <f t="shared" si="1"/>
        <v>1850.5200000000007</v>
      </c>
      <c r="AQ8" s="208">
        <f t="shared" si="1"/>
        <v>2077.6999999999998</v>
      </c>
      <c r="AR8" s="208">
        <f t="shared" si="1"/>
        <v>1646.3717399999998</v>
      </c>
    </row>
    <row r="9" spans="1:44" ht="25.5" x14ac:dyDescent="0.25">
      <c r="A9" s="186" t="s">
        <v>595</v>
      </c>
      <c r="B9" s="190"/>
      <c r="C9" s="192"/>
      <c r="D9" s="192">
        <v>264</v>
      </c>
      <c r="E9" s="192">
        <v>280</v>
      </c>
      <c r="F9" s="192">
        <v>46720</v>
      </c>
      <c r="G9" s="192">
        <v>12</v>
      </c>
      <c r="H9" s="192"/>
      <c r="I9" s="192"/>
      <c r="J9" s="192"/>
      <c r="K9" s="191">
        <v>63</v>
      </c>
      <c r="L9" s="192">
        <v>69</v>
      </c>
      <c r="M9" s="192">
        <v>2</v>
      </c>
      <c r="N9" s="192">
        <v>2</v>
      </c>
      <c r="O9" s="191">
        <v>45</v>
      </c>
      <c r="P9" s="192">
        <v>50</v>
      </c>
      <c r="Q9" s="191">
        <v>21</v>
      </c>
      <c r="R9" s="192">
        <v>22</v>
      </c>
      <c r="S9" s="192">
        <v>16</v>
      </c>
      <c r="T9" s="192">
        <v>17</v>
      </c>
      <c r="U9" s="207"/>
      <c r="V9" s="207"/>
      <c r="W9" s="192">
        <f>AA9+AE9+AI9+AM9</f>
        <v>8984.8499999999985</v>
      </c>
      <c r="X9" s="192">
        <f>AB9+AF9+AJ9+AN9</f>
        <v>5306.7494399999996</v>
      </c>
      <c r="Y9" s="192">
        <v>144.93846666666667</v>
      </c>
      <c r="Z9" s="192">
        <v>742.85826999999995</v>
      </c>
      <c r="AA9" s="192">
        <v>98.77</v>
      </c>
      <c r="AB9" s="192">
        <v>531.45127000000002</v>
      </c>
      <c r="AC9" s="192">
        <v>1139.9000000000001</v>
      </c>
      <c r="AD9" s="192">
        <v>3716.2753763999995</v>
      </c>
      <c r="AE9" s="192">
        <v>1151.55</v>
      </c>
      <c r="AF9" s="192">
        <v>3629.7530699999998</v>
      </c>
      <c r="AG9" s="192">
        <v>3679.6624999999999</v>
      </c>
      <c r="AH9" s="192">
        <v>791.23987844999988</v>
      </c>
      <c r="AI9" s="192">
        <v>3852.9399999999996</v>
      </c>
      <c r="AJ9" s="192">
        <v>837.52416999999991</v>
      </c>
      <c r="AK9" s="192">
        <v>3679.6624999999999</v>
      </c>
      <c r="AL9" s="192">
        <v>301.82799622499999</v>
      </c>
      <c r="AM9" s="192">
        <v>3881.59</v>
      </c>
      <c r="AN9" s="192">
        <v>308.02093000000002</v>
      </c>
      <c r="AO9" s="191">
        <v>166.8</v>
      </c>
      <c r="AP9" s="191">
        <v>132.18</v>
      </c>
      <c r="AQ9" s="191">
        <v>169.6</v>
      </c>
      <c r="AR9" s="191">
        <v>134.40967000000001</v>
      </c>
    </row>
    <row r="10" spans="1:44" ht="25.5" x14ac:dyDescent="0.25">
      <c r="A10" s="186" t="s">
        <v>599</v>
      </c>
      <c r="B10" s="190"/>
      <c r="C10" s="192"/>
      <c r="D10" s="192">
        <v>152</v>
      </c>
      <c r="E10" s="192">
        <v>161</v>
      </c>
      <c r="F10" s="192">
        <v>26549</v>
      </c>
      <c r="G10" s="192">
        <v>6</v>
      </c>
      <c r="H10" s="192"/>
      <c r="I10" s="192"/>
      <c r="J10" s="192"/>
      <c r="K10" s="191">
        <v>36</v>
      </c>
      <c r="L10" s="192">
        <v>37</v>
      </c>
      <c r="M10" s="192">
        <v>2</v>
      </c>
      <c r="N10" s="192">
        <v>2</v>
      </c>
      <c r="O10" s="191">
        <v>22</v>
      </c>
      <c r="P10" s="192">
        <v>25</v>
      </c>
      <c r="Q10" s="191">
        <v>10</v>
      </c>
      <c r="R10" s="192">
        <v>11</v>
      </c>
      <c r="S10" s="192">
        <v>12</v>
      </c>
      <c r="T10" s="192">
        <v>10</v>
      </c>
      <c r="U10" s="207"/>
      <c r="V10" s="207"/>
      <c r="W10" s="192">
        <f t="shared" ref="W10:X22" si="2">AA10+AE10+AI10+AM10</f>
        <v>6950.79</v>
      </c>
      <c r="X10" s="192">
        <f t="shared" si="2"/>
        <v>3455.9607999999998</v>
      </c>
      <c r="Y10" s="192">
        <v>151.5317</v>
      </c>
      <c r="Z10" s="192">
        <v>778.35066600000005</v>
      </c>
      <c r="AA10" s="192">
        <v>71.930000000000007</v>
      </c>
      <c r="AB10" s="192">
        <v>382.93329</v>
      </c>
      <c r="AC10" s="192">
        <v>1128.8999999999999</v>
      </c>
      <c r="AD10" s="192">
        <v>3679.5649308000002</v>
      </c>
      <c r="AE10" s="192">
        <v>706.76</v>
      </c>
      <c r="AF10" s="192">
        <v>2226.0782999999997</v>
      </c>
      <c r="AG10" s="192">
        <v>2047.8322916666666</v>
      </c>
      <c r="AH10" s="192">
        <v>446.24408718749999</v>
      </c>
      <c r="AI10" s="192">
        <v>3036.86</v>
      </c>
      <c r="AJ10" s="192">
        <v>614.76987000000008</v>
      </c>
      <c r="AK10" s="192">
        <v>2047.8322916666666</v>
      </c>
      <c r="AL10" s="192">
        <v>167.97549155624998</v>
      </c>
      <c r="AM10" s="192">
        <v>3135.24</v>
      </c>
      <c r="AN10" s="192">
        <v>232.17934</v>
      </c>
      <c r="AO10" s="191">
        <v>166.8</v>
      </c>
      <c r="AP10" s="191">
        <v>132.18</v>
      </c>
      <c r="AQ10" s="191">
        <v>132.19999999999999</v>
      </c>
      <c r="AR10" s="191">
        <v>104.71343</v>
      </c>
    </row>
    <row r="11" spans="1:44" ht="25.5" x14ac:dyDescent="0.25">
      <c r="A11" s="186" t="s">
        <v>601</v>
      </c>
      <c r="B11" s="190"/>
      <c r="C11" s="192"/>
      <c r="D11" s="192">
        <v>127</v>
      </c>
      <c r="E11" s="192">
        <v>157</v>
      </c>
      <c r="F11" s="192">
        <v>21858</v>
      </c>
      <c r="G11" s="192">
        <v>6</v>
      </c>
      <c r="H11" s="192"/>
      <c r="I11" s="192"/>
      <c r="J11" s="192"/>
      <c r="K11" s="191">
        <v>36</v>
      </c>
      <c r="L11" s="192">
        <v>38</v>
      </c>
      <c r="M11" s="192">
        <v>2</v>
      </c>
      <c r="N11" s="192">
        <v>2</v>
      </c>
      <c r="O11" s="191">
        <v>22</v>
      </c>
      <c r="P11" s="192">
        <v>21</v>
      </c>
      <c r="Q11" s="191">
        <v>10</v>
      </c>
      <c r="R11" s="192">
        <v>9</v>
      </c>
      <c r="S11" s="192">
        <v>12</v>
      </c>
      <c r="T11" s="192">
        <v>15</v>
      </c>
      <c r="U11" s="207"/>
      <c r="V11" s="207"/>
      <c r="W11" s="192">
        <f t="shared" si="2"/>
        <v>4773.55</v>
      </c>
      <c r="X11" s="192">
        <f t="shared" si="2"/>
        <v>3140.2086999999997</v>
      </c>
      <c r="Y11" s="192">
        <v>100.199</v>
      </c>
      <c r="Z11" s="192">
        <v>513.87522000000001</v>
      </c>
      <c r="AA11" s="192">
        <v>104.87</v>
      </c>
      <c r="AB11" s="192">
        <v>565.25072</v>
      </c>
      <c r="AC11" s="192">
        <v>596.90000000000009</v>
      </c>
      <c r="AD11" s="192">
        <v>1942.5502331999999</v>
      </c>
      <c r="AE11" s="192">
        <v>627.4</v>
      </c>
      <c r="AF11" s="192">
        <v>1971.3291399999998</v>
      </c>
      <c r="AG11" s="192">
        <v>1903.7791666666667</v>
      </c>
      <c r="AH11" s="192">
        <v>420.62411175</v>
      </c>
      <c r="AI11" s="192">
        <v>2054.1</v>
      </c>
      <c r="AJ11" s="192">
        <v>445.34852000000001</v>
      </c>
      <c r="AK11" s="192">
        <v>1903.7791666666667</v>
      </c>
      <c r="AL11" s="192">
        <v>156.159389925</v>
      </c>
      <c r="AM11" s="192">
        <v>1987.18</v>
      </c>
      <c r="AN11" s="192">
        <v>158.28032000000002</v>
      </c>
      <c r="AO11" s="191">
        <v>166.8</v>
      </c>
      <c r="AP11" s="191">
        <v>132.18</v>
      </c>
      <c r="AQ11" s="191">
        <v>82.2</v>
      </c>
      <c r="AR11" s="191">
        <v>65.151049999999998</v>
      </c>
    </row>
    <row r="12" spans="1:44" ht="25.5" x14ac:dyDescent="0.25">
      <c r="A12" s="186" t="s">
        <v>602</v>
      </c>
      <c r="B12" s="190"/>
      <c r="C12" s="192"/>
      <c r="D12" s="192">
        <v>240</v>
      </c>
      <c r="E12" s="192">
        <v>291</v>
      </c>
      <c r="F12" s="192">
        <v>50014</v>
      </c>
      <c r="G12" s="192">
        <v>10</v>
      </c>
      <c r="H12" s="192"/>
      <c r="I12" s="192"/>
      <c r="J12" s="192"/>
      <c r="K12" s="191">
        <v>60</v>
      </c>
      <c r="L12" s="192">
        <v>70</v>
      </c>
      <c r="M12" s="192">
        <v>2</v>
      </c>
      <c r="N12" s="192">
        <v>2</v>
      </c>
      <c r="O12" s="191">
        <v>41</v>
      </c>
      <c r="P12" s="192">
        <v>49</v>
      </c>
      <c r="Q12" s="191">
        <v>20</v>
      </c>
      <c r="R12" s="192">
        <v>23</v>
      </c>
      <c r="S12" s="192">
        <v>17</v>
      </c>
      <c r="T12" s="192">
        <v>19</v>
      </c>
      <c r="U12" s="207"/>
      <c r="V12" s="207"/>
      <c r="W12" s="192">
        <f t="shared" si="2"/>
        <v>10416.9</v>
      </c>
      <c r="X12" s="192">
        <f t="shared" si="2"/>
        <v>7643.8331800000005</v>
      </c>
      <c r="Y12" s="192">
        <v>562.91999999999996</v>
      </c>
      <c r="Z12" s="192">
        <v>2937.7356479999999</v>
      </c>
      <c r="AA12" s="192">
        <v>452.3</v>
      </c>
      <c r="AB12" s="192">
        <v>2496.9513099999999</v>
      </c>
      <c r="AC12" s="192">
        <v>1449.7804068156918</v>
      </c>
      <c r="AD12" s="192">
        <v>4723.8403067759673</v>
      </c>
      <c r="AE12" s="192">
        <v>1338.05</v>
      </c>
      <c r="AF12" s="192">
        <v>3857.3546000000001</v>
      </c>
      <c r="AG12" s="192">
        <v>5990.3299676000015</v>
      </c>
      <c r="AH12" s="192">
        <v>1200.1802421174552</v>
      </c>
      <c r="AI12" s="192">
        <v>4384.03</v>
      </c>
      <c r="AJ12" s="192">
        <v>951.51630000000011</v>
      </c>
      <c r="AK12" s="192">
        <v>5990.3299676000015</v>
      </c>
      <c r="AL12" s="192">
        <v>491.36280592235767</v>
      </c>
      <c r="AM12" s="192">
        <v>4242.5200000000004</v>
      </c>
      <c r="AN12" s="192">
        <v>338.01096999999999</v>
      </c>
      <c r="AO12" s="191">
        <v>166.8</v>
      </c>
      <c r="AP12" s="191">
        <v>132.18</v>
      </c>
      <c r="AQ12" s="191">
        <v>192.6</v>
      </c>
      <c r="AR12" s="191">
        <v>152.62509</v>
      </c>
    </row>
    <row r="13" spans="1:44" ht="25.5" x14ac:dyDescent="0.25">
      <c r="A13" s="186" t="s">
        <v>603</v>
      </c>
      <c r="B13" s="190"/>
      <c r="C13" s="192"/>
      <c r="D13" s="192">
        <v>178</v>
      </c>
      <c r="E13" s="192">
        <v>144</v>
      </c>
      <c r="F13" s="192">
        <v>24033</v>
      </c>
      <c r="G13" s="192">
        <v>11</v>
      </c>
      <c r="H13" s="192"/>
      <c r="I13" s="192"/>
      <c r="J13" s="192"/>
      <c r="K13" s="191">
        <v>51.5</v>
      </c>
      <c r="L13" s="192">
        <v>48</v>
      </c>
      <c r="M13" s="192">
        <v>2</v>
      </c>
      <c r="N13" s="192">
        <v>2</v>
      </c>
      <c r="O13" s="191">
        <v>30.5</v>
      </c>
      <c r="P13" s="192">
        <v>28</v>
      </c>
      <c r="Q13" s="191">
        <v>13</v>
      </c>
      <c r="R13" s="192">
        <v>11</v>
      </c>
      <c r="S13" s="192">
        <v>19</v>
      </c>
      <c r="T13" s="192">
        <v>18</v>
      </c>
      <c r="U13" s="207"/>
      <c r="V13" s="207"/>
      <c r="W13" s="192">
        <f t="shared" si="2"/>
        <v>8246.01</v>
      </c>
      <c r="X13" s="192">
        <f t="shared" si="2"/>
        <v>4398.7400900000002</v>
      </c>
      <c r="Y13" s="192">
        <v>228</v>
      </c>
      <c r="Z13" s="192">
        <v>1302.4967999999999</v>
      </c>
      <c r="AA13" s="192">
        <v>119.47</v>
      </c>
      <c r="AB13" s="192">
        <v>631.73910999999998</v>
      </c>
      <c r="AC13" s="192">
        <v>1076.6494500000001</v>
      </c>
      <c r="AD13" s="192">
        <v>3508.7844812309995</v>
      </c>
      <c r="AE13" s="192">
        <v>868.12</v>
      </c>
      <c r="AF13" s="192">
        <v>2727.26676</v>
      </c>
      <c r="AG13" s="192">
        <v>5187</v>
      </c>
      <c r="AH13" s="192">
        <v>1044.300432</v>
      </c>
      <c r="AI13" s="192">
        <v>3674.23</v>
      </c>
      <c r="AJ13" s="192">
        <v>752.00169000000005</v>
      </c>
      <c r="AK13" s="192">
        <v>5187</v>
      </c>
      <c r="AL13" s="192">
        <v>429.90595199999996</v>
      </c>
      <c r="AM13" s="192">
        <v>3584.19</v>
      </c>
      <c r="AN13" s="192">
        <v>287.73253000000005</v>
      </c>
      <c r="AO13" s="191">
        <v>166.8</v>
      </c>
      <c r="AP13" s="191">
        <v>132.18</v>
      </c>
      <c r="AQ13" s="191">
        <v>111.5</v>
      </c>
      <c r="AR13" s="191">
        <v>88.344009999999997</v>
      </c>
    </row>
    <row r="14" spans="1:44" ht="25.5" x14ac:dyDescent="0.25">
      <c r="A14" s="186" t="s">
        <v>604</v>
      </c>
      <c r="B14" s="190"/>
      <c r="C14" s="192"/>
      <c r="D14" s="192">
        <v>151</v>
      </c>
      <c r="E14" s="192">
        <v>154</v>
      </c>
      <c r="F14" s="192">
        <v>22895</v>
      </c>
      <c r="G14" s="192">
        <v>6</v>
      </c>
      <c r="H14" s="192"/>
      <c r="I14" s="192"/>
      <c r="J14" s="192"/>
      <c r="K14" s="191">
        <v>39</v>
      </c>
      <c r="L14" s="192">
        <v>40</v>
      </c>
      <c r="M14" s="192">
        <v>2</v>
      </c>
      <c r="N14" s="192">
        <v>4</v>
      </c>
      <c r="O14" s="191">
        <v>24</v>
      </c>
      <c r="P14" s="192">
        <v>25</v>
      </c>
      <c r="Q14" s="191">
        <v>10</v>
      </c>
      <c r="R14" s="192">
        <v>11</v>
      </c>
      <c r="S14" s="192">
        <v>13</v>
      </c>
      <c r="T14" s="192">
        <v>11</v>
      </c>
      <c r="U14" s="207"/>
      <c r="V14" s="207"/>
      <c r="W14" s="192">
        <f t="shared" si="2"/>
        <v>4871.6100000000006</v>
      </c>
      <c r="X14" s="192">
        <f t="shared" si="2"/>
        <v>2463.12014</v>
      </c>
      <c r="Y14" s="192">
        <v>60.617999999999995</v>
      </c>
      <c r="Z14" s="192">
        <v>376.84231679999999</v>
      </c>
      <c r="AA14" s="192">
        <v>53.17</v>
      </c>
      <c r="AB14" s="192">
        <v>301.60572999999999</v>
      </c>
      <c r="AC14" s="192">
        <v>483.22000000000008</v>
      </c>
      <c r="AD14" s="192">
        <v>1575.1309491254401</v>
      </c>
      <c r="AE14" s="192">
        <v>410.4</v>
      </c>
      <c r="AF14" s="192">
        <v>1429.7490299999999</v>
      </c>
      <c r="AG14" s="192">
        <v>3075.1499999999996</v>
      </c>
      <c r="AH14" s="192">
        <v>620.27633040000001</v>
      </c>
      <c r="AI14" s="192">
        <v>2225.9499999999998</v>
      </c>
      <c r="AJ14" s="192">
        <v>543.27904000000001</v>
      </c>
      <c r="AK14" s="192">
        <v>3075.1499999999996</v>
      </c>
      <c r="AL14" s="192">
        <v>256.6058544</v>
      </c>
      <c r="AM14" s="192">
        <v>2182.09</v>
      </c>
      <c r="AN14" s="192">
        <v>188.48633999999998</v>
      </c>
      <c r="AO14" s="191">
        <v>166.8</v>
      </c>
      <c r="AP14" s="191">
        <v>132.18</v>
      </c>
      <c r="AQ14" s="191">
        <v>164</v>
      </c>
      <c r="AR14" s="191">
        <v>129.94101000000001</v>
      </c>
    </row>
    <row r="15" spans="1:44" ht="25.5" x14ac:dyDescent="0.25">
      <c r="A15" s="186" t="s">
        <v>605</v>
      </c>
      <c r="B15" s="190"/>
      <c r="C15" s="192"/>
      <c r="D15" s="192">
        <v>298</v>
      </c>
      <c r="E15" s="192">
        <v>271</v>
      </c>
      <c r="F15" s="192">
        <v>48937</v>
      </c>
      <c r="G15" s="192">
        <v>13</v>
      </c>
      <c r="H15" s="192"/>
      <c r="I15" s="192"/>
      <c r="J15" s="192"/>
      <c r="K15" s="191">
        <v>86</v>
      </c>
      <c r="L15" s="192">
        <v>86</v>
      </c>
      <c r="M15" s="192">
        <v>2</v>
      </c>
      <c r="N15" s="192">
        <v>2</v>
      </c>
      <c r="O15" s="191">
        <v>63</v>
      </c>
      <c r="P15" s="192">
        <v>63</v>
      </c>
      <c r="Q15" s="191">
        <v>26</v>
      </c>
      <c r="R15" s="192">
        <v>28</v>
      </c>
      <c r="S15" s="192">
        <v>21</v>
      </c>
      <c r="T15" s="192">
        <v>21</v>
      </c>
      <c r="U15" s="207"/>
      <c r="V15" s="207"/>
      <c r="W15" s="192">
        <f t="shared" si="2"/>
        <v>10115.92</v>
      </c>
      <c r="X15" s="192">
        <f t="shared" si="2"/>
        <v>4962.8879500000003</v>
      </c>
      <c r="Y15" s="192">
        <v>95.826333333333324</v>
      </c>
      <c r="Z15" s="192">
        <v>645.27664479999999</v>
      </c>
      <c r="AA15" s="192">
        <v>98.57</v>
      </c>
      <c r="AB15" s="192">
        <v>538.72137999999995</v>
      </c>
      <c r="AC15" s="192">
        <v>905.11</v>
      </c>
      <c r="AD15" s="192">
        <v>2950.95434650272</v>
      </c>
      <c r="AE15" s="192">
        <v>997.33</v>
      </c>
      <c r="AF15" s="192">
        <v>3138.5643399999999</v>
      </c>
      <c r="AG15" s="192">
        <v>6928.3499999999995</v>
      </c>
      <c r="AH15" s="192">
        <v>1400.0930856</v>
      </c>
      <c r="AI15" s="192">
        <v>4595.9399999999996</v>
      </c>
      <c r="AJ15" s="192">
        <v>941.22255999999993</v>
      </c>
      <c r="AK15" s="192">
        <v>6928.3499999999995</v>
      </c>
      <c r="AL15" s="192">
        <v>582.04064159999984</v>
      </c>
      <c r="AM15" s="192">
        <v>4424.08</v>
      </c>
      <c r="AN15" s="192">
        <v>344.37966999999998</v>
      </c>
      <c r="AO15" s="191">
        <v>166.8</v>
      </c>
      <c r="AP15" s="191">
        <v>132.18</v>
      </c>
      <c r="AQ15" s="191">
        <v>180.8</v>
      </c>
      <c r="AR15" s="191">
        <v>143.28342000000001</v>
      </c>
    </row>
    <row r="16" spans="1:44" ht="25.5" x14ac:dyDescent="0.25">
      <c r="A16" s="186" t="s">
        <v>606</v>
      </c>
      <c r="B16" s="190"/>
      <c r="C16" s="192"/>
      <c r="D16" s="192">
        <v>140</v>
      </c>
      <c r="E16" s="192">
        <v>149</v>
      </c>
      <c r="F16" s="192">
        <v>25471</v>
      </c>
      <c r="G16" s="192">
        <v>6</v>
      </c>
      <c r="H16" s="192"/>
      <c r="I16" s="192"/>
      <c r="J16" s="192"/>
      <c r="K16" s="191">
        <v>35</v>
      </c>
      <c r="L16" s="192">
        <v>39</v>
      </c>
      <c r="M16" s="192">
        <v>2</v>
      </c>
      <c r="N16" s="192">
        <v>2</v>
      </c>
      <c r="O16" s="191">
        <v>22</v>
      </c>
      <c r="P16" s="192">
        <v>24</v>
      </c>
      <c r="Q16" s="191">
        <v>10</v>
      </c>
      <c r="R16" s="192">
        <v>11</v>
      </c>
      <c r="S16" s="192">
        <v>11</v>
      </c>
      <c r="T16" s="192">
        <v>13</v>
      </c>
      <c r="U16" s="207"/>
      <c r="V16" s="207"/>
      <c r="W16" s="192">
        <f t="shared" si="2"/>
        <v>4587.6399999999994</v>
      </c>
      <c r="X16" s="192">
        <f t="shared" si="2"/>
        <v>3278.2866499999996</v>
      </c>
      <c r="Y16" s="192">
        <v>136.3597</v>
      </c>
      <c r="Z16" s="192">
        <v>698.67877500000009</v>
      </c>
      <c r="AA16" s="192">
        <v>66.84</v>
      </c>
      <c r="AB16" s="192">
        <v>360.45423</v>
      </c>
      <c r="AC16" s="192">
        <v>535.9</v>
      </c>
      <c r="AD16" s="192">
        <v>1743.8228196</v>
      </c>
      <c r="AE16" s="192">
        <v>742.2</v>
      </c>
      <c r="AF16" s="192">
        <v>2348.60599</v>
      </c>
      <c r="AG16" s="192">
        <v>1934.33125</v>
      </c>
      <c r="AH16" s="192">
        <v>425.55653347499998</v>
      </c>
      <c r="AI16" s="192">
        <v>1919.1399999999999</v>
      </c>
      <c r="AJ16" s="192">
        <v>420.90584000000001</v>
      </c>
      <c r="AK16" s="192">
        <v>1934.33125</v>
      </c>
      <c r="AL16" s="192">
        <v>158.66545511249998</v>
      </c>
      <c r="AM16" s="192">
        <v>1859.46</v>
      </c>
      <c r="AN16" s="192">
        <v>148.32059000000001</v>
      </c>
      <c r="AO16" s="191">
        <v>166.8</v>
      </c>
      <c r="AP16" s="191">
        <v>132.18</v>
      </c>
      <c r="AQ16" s="191">
        <v>142.5</v>
      </c>
      <c r="AR16" s="191">
        <v>112.90607</v>
      </c>
    </row>
    <row r="17" spans="1:44" ht="25.5" x14ac:dyDescent="0.25">
      <c r="A17" s="186" t="s">
        <v>607</v>
      </c>
      <c r="B17" s="190"/>
      <c r="C17" s="192"/>
      <c r="D17" s="192">
        <v>80</v>
      </c>
      <c r="E17" s="192">
        <v>84</v>
      </c>
      <c r="F17" s="192">
        <v>12728</v>
      </c>
      <c r="G17" s="192">
        <v>4</v>
      </c>
      <c r="H17" s="192"/>
      <c r="I17" s="192"/>
      <c r="J17" s="192"/>
      <c r="K17" s="191">
        <v>35.799999999999997</v>
      </c>
      <c r="L17" s="192">
        <v>35</v>
      </c>
      <c r="M17" s="192">
        <v>2</v>
      </c>
      <c r="N17" s="192">
        <v>2</v>
      </c>
      <c r="O17" s="191">
        <v>22</v>
      </c>
      <c r="P17" s="192">
        <v>21</v>
      </c>
      <c r="Q17" s="191">
        <v>8</v>
      </c>
      <c r="R17" s="192">
        <v>8</v>
      </c>
      <c r="S17" s="192">
        <v>11.8</v>
      </c>
      <c r="T17" s="192">
        <v>12</v>
      </c>
      <c r="U17" s="207"/>
      <c r="V17" s="207"/>
      <c r="W17" s="192">
        <f t="shared" si="2"/>
        <v>3420.0200000000004</v>
      </c>
      <c r="X17" s="192">
        <f t="shared" si="2"/>
        <v>2122.9639499999998</v>
      </c>
      <c r="Y17" s="192">
        <v>78.957666666666668</v>
      </c>
      <c r="Z17" s="192">
        <v>405.79185999999999</v>
      </c>
      <c r="AA17" s="192">
        <v>74.92</v>
      </c>
      <c r="AB17" s="192">
        <v>402.89612</v>
      </c>
      <c r="AC17" s="192">
        <v>538.9</v>
      </c>
      <c r="AD17" s="192">
        <v>1759.1897531999998</v>
      </c>
      <c r="AE17" s="192">
        <v>395.69</v>
      </c>
      <c r="AF17" s="192">
        <v>1243.7193600000001</v>
      </c>
      <c r="AG17" s="192">
        <v>1151.5999999999999</v>
      </c>
      <c r="AH17" s="192">
        <v>250.45665120000001</v>
      </c>
      <c r="AI17" s="192">
        <v>1495.25</v>
      </c>
      <c r="AJ17" s="192">
        <v>360.11183999999997</v>
      </c>
      <c r="AK17" s="192">
        <v>1151.5999999999999</v>
      </c>
      <c r="AL17" s="192">
        <v>94.461141599999991</v>
      </c>
      <c r="AM17" s="192">
        <v>1454.16</v>
      </c>
      <c r="AN17" s="192">
        <v>116.23663000000001</v>
      </c>
      <c r="AO17" s="191">
        <v>166.8</v>
      </c>
      <c r="AP17" s="191">
        <v>132.18</v>
      </c>
      <c r="AQ17" s="191">
        <v>100</v>
      </c>
      <c r="AR17" s="191">
        <v>79.24024</v>
      </c>
    </row>
    <row r="18" spans="1:44" ht="25.5" x14ac:dyDescent="0.25">
      <c r="A18" s="186" t="s">
        <v>608</v>
      </c>
      <c r="B18" s="190"/>
      <c r="C18" s="192"/>
      <c r="D18" s="192">
        <v>260</v>
      </c>
      <c r="E18" s="192">
        <v>280</v>
      </c>
      <c r="F18" s="192">
        <v>34931</v>
      </c>
      <c r="G18" s="192">
        <v>12</v>
      </c>
      <c r="H18" s="192"/>
      <c r="I18" s="192"/>
      <c r="J18" s="192"/>
      <c r="K18" s="191">
        <v>64</v>
      </c>
      <c r="L18" s="192">
        <v>67</v>
      </c>
      <c r="M18" s="192">
        <v>2</v>
      </c>
      <c r="N18" s="192">
        <v>2</v>
      </c>
      <c r="O18" s="191">
        <v>45</v>
      </c>
      <c r="P18" s="192">
        <v>47</v>
      </c>
      <c r="Q18" s="191">
        <v>22</v>
      </c>
      <c r="R18" s="192">
        <v>23</v>
      </c>
      <c r="S18" s="192">
        <v>17</v>
      </c>
      <c r="T18" s="192">
        <v>18</v>
      </c>
      <c r="U18" s="207"/>
      <c r="V18" s="207"/>
      <c r="W18" s="192">
        <f t="shared" si="2"/>
        <v>7781.24</v>
      </c>
      <c r="X18" s="192">
        <f t="shared" si="2"/>
        <v>5175.485999999999</v>
      </c>
      <c r="Y18" s="192">
        <v>197.54499999999999</v>
      </c>
      <c r="Z18" s="192">
        <v>1039.03413</v>
      </c>
      <c r="AA18" s="192">
        <v>126.79</v>
      </c>
      <c r="AB18" s="192">
        <v>664.51763000000005</v>
      </c>
      <c r="AC18" s="192">
        <v>985.3</v>
      </c>
      <c r="AD18" s="192">
        <v>3210.5593691999998</v>
      </c>
      <c r="AE18" s="192">
        <v>1123.5899999999999</v>
      </c>
      <c r="AF18" s="192">
        <v>3541.9311899999998</v>
      </c>
      <c r="AG18" s="192">
        <v>3397.4854166666669</v>
      </c>
      <c r="AH18" s="192">
        <v>778.84163722500011</v>
      </c>
      <c r="AI18" s="192">
        <v>3268.1800000000003</v>
      </c>
      <c r="AJ18" s="192">
        <v>709.33601999999996</v>
      </c>
      <c r="AK18" s="192">
        <v>3397.4854166666669</v>
      </c>
      <c r="AL18" s="192">
        <v>278.68213878749998</v>
      </c>
      <c r="AM18" s="192">
        <v>3262.68</v>
      </c>
      <c r="AN18" s="192">
        <v>259.70116000000002</v>
      </c>
      <c r="AO18" s="191">
        <v>166.8</v>
      </c>
      <c r="AP18" s="191">
        <v>132.18</v>
      </c>
      <c r="AQ18" s="191">
        <v>208.4</v>
      </c>
      <c r="AR18" s="191">
        <v>165.12010000000001</v>
      </c>
    </row>
    <row r="19" spans="1:44" ht="25.5" x14ac:dyDescent="0.25">
      <c r="A19" s="186" t="s">
        <v>609</v>
      </c>
      <c r="B19" s="190"/>
      <c r="C19" s="192"/>
      <c r="D19" s="192">
        <v>257</v>
      </c>
      <c r="E19" s="192">
        <v>302</v>
      </c>
      <c r="F19" s="192">
        <v>46305</v>
      </c>
      <c r="G19" s="192">
        <v>12</v>
      </c>
      <c r="H19" s="192"/>
      <c r="I19" s="192"/>
      <c r="J19" s="192"/>
      <c r="K19" s="191">
        <v>64</v>
      </c>
      <c r="L19" s="192">
        <v>67</v>
      </c>
      <c r="M19" s="192">
        <v>2</v>
      </c>
      <c r="N19" s="192">
        <v>2</v>
      </c>
      <c r="O19" s="191">
        <v>45</v>
      </c>
      <c r="P19" s="192">
        <v>47</v>
      </c>
      <c r="Q19" s="191">
        <v>21</v>
      </c>
      <c r="R19" s="192">
        <v>23</v>
      </c>
      <c r="S19" s="192">
        <v>17</v>
      </c>
      <c r="T19" s="192">
        <v>18</v>
      </c>
      <c r="U19" s="207"/>
      <c r="V19" s="207"/>
      <c r="W19" s="192">
        <f t="shared" si="2"/>
        <v>8875.49</v>
      </c>
      <c r="X19" s="192">
        <f t="shared" si="2"/>
        <v>4805.2394400000003</v>
      </c>
      <c r="Y19" s="192">
        <v>232.24897500000003</v>
      </c>
      <c r="Z19" s="192">
        <v>1180.077</v>
      </c>
      <c r="AA19" s="192">
        <v>154.25</v>
      </c>
      <c r="AB19" s="192">
        <f>[2]Декабрь!$BO$27</f>
        <v>790.01443000000006</v>
      </c>
      <c r="AC19" s="192">
        <v>1146.71</v>
      </c>
      <c r="AD19" s="192">
        <v>3738.1158382800004</v>
      </c>
      <c r="AE19" s="192">
        <v>924.85</v>
      </c>
      <c r="AF19" s="192">
        <v>2913.0683799999997</v>
      </c>
      <c r="AG19" s="192">
        <v>3474.4070833333335</v>
      </c>
      <c r="AH19" s="192">
        <v>744.76977424500001</v>
      </c>
      <c r="AI19" s="192">
        <v>3877.21</v>
      </c>
      <c r="AJ19" s="192">
        <v>798.32380000000001</v>
      </c>
      <c r="AK19" s="192">
        <v>3474.4070833333335</v>
      </c>
      <c r="AL19" s="192">
        <v>284.99171541750002</v>
      </c>
      <c r="AM19" s="192">
        <v>3919.18</v>
      </c>
      <c r="AN19" s="192">
        <v>303.83283</v>
      </c>
      <c r="AO19" s="191">
        <v>166.8</v>
      </c>
      <c r="AP19" s="191">
        <v>132.18</v>
      </c>
      <c r="AQ19" s="191">
        <v>125.4</v>
      </c>
      <c r="AR19" s="191">
        <v>99.357089999999999</v>
      </c>
    </row>
    <row r="20" spans="1:44" ht="25.5" x14ac:dyDescent="0.25">
      <c r="A20" s="186" t="s">
        <v>610</v>
      </c>
      <c r="B20" s="190"/>
      <c r="C20" s="192"/>
      <c r="D20" s="192">
        <v>253</v>
      </c>
      <c r="E20" s="192">
        <v>292</v>
      </c>
      <c r="F20" s="192">
        <v>47913</v>
      </c>
      <c r="G20" s="192">
        <v>12</v>
      </c>
      <c r="H20" s="192"/>
      <c r="I20" s="192"/>
      <c r="J20" s="192"/>
      <c r="K20" s="191">
        <v>63.5</v>
      </c>
      <c r="L20" s="192">
        <v>68</v>
      </c>
      <c r="M20" s="192">
        <v>2</v>
      </c>
      <c r="N20" s="192">
        <v>2</v>
      </c>
      <c r="O20" s="191">
        <v>44.5</v>
      </c>
      <c r="P20" s="192">
        <v>47</v>
      </c>
      <c r="Q20" s="191">
        <v>20</v>
      </c>
      <c r="R20" s="192">
        <v>22</v>
      </c>
      <c r="S20" s="192">
        <v>17</v>
      </c>
      <c r="T20" s="192">
        <v>19</v>
      </c>
      <c r="U20" s="207"/>
      <c r="V20" s="207"/>
      <c r="W20" s="192">
        <f t="shared" si="2"/>
        <v>10434.799999999999</v>
      </c>
      <c r="X20" s="192">
        <f t="shared" si="2"/>
        <v>5003.8614900000002</v>
      </c>
      <c r="Y20" s="192">
        <v>182.79999999999998</v>
      </c>
      <c r="Z20" s="192">
        <v>933.08759999999995</v>
      </c>
      <c r="AA20" s="192">
        <v>174.12</v>
      </c>
      <c r="AB20" s="192">
        <v>944.48499000000004</v>
      </c>
      <c r="AC20" s="192">
        <v>1040.9000000000001</v>
      </c>
      <c r="AD20" s="192">
        <v>3389.564766</v>
      </c>
      <c r="AE20" s="192">
        <v>867.48</v>
      </c>
      <c r="AF20" s="192">
        <v>2727.39059</v>
      </c>
      <c r="AG20" s="192">
        <v>3383.6770833333335</v>
      </c>
      <c r="AH20" s="192">
        <v>687.53481982500011</v>
      </c>
      <c r="AI20" s="192">
        <v>4568.95</v>
      </c>
      <c r="AJ20" s="192">
        <v>961.62091999999996</v>
      </c>
      <c r="AK20" s="192">
        <v>3383.6770833333335</v>
      </c>
      <c r="AL20" s="192">
        <v>277.54949643750001</v>
      </c>
      <c r="AM20" s="192">
        <v>4824.25</v>
      </c>
      <c r="AN20" s="192">
        <v>370.36498999999998</v>
      </c>
      <c r="AO20" s="191">
        <v>166.8</v>
      </c>
      <c r="AP20" s="191">
        <v>132.18</v>
      </c>
      <c r="AQ20" s="191">
        <v>250.1</v>
      </c>
      <c r="AR20" s="191">
        <v>198.19166000000001</v>
      </c>
    </row>
    <row r="21" spans="1:44" ht="25.5" x14ac:dyDescent="0.25">
      <c r="A21" s="186" t="s">
        <v>611</v>
      </c>
      <c r="B21" s="190"/>
      <c r="C21" s="192"/>
      <c r="D21" s="192">
        <v>131</v>
      </c>
      <c r="E21" s="192">
        <v>149</v>
      </c>
      <c r="F21" s="192">
        <v>24910</v>
      </c>
      <c r="G21" s="192">
        <v>6</v>
      </c>
      <c r="H21" s="192"/>
      <c r="I21" s="192"/>
      <c r="J21" s="192"/>
      <c r="K21" s="191">
        <v>36</v>
      </c>
      <c r="L21" s="192">
        <v>38</v>
      </c>
      <c r="M21" s="192">
        <v>2</v>
      </c>
      <c r="N21" s="192">
        <v>2</v>
      </c>
      <c r="O21" s="191">
        <v>22</v>
      </c>
      <c r="P21" s="192">
        <v>25</v>
      </c>
      <c r="Q21" s="191">
        <v>10</v>
      </c>
      <c r="R21" s="192">
        <v>11</v>
      </c>
      <c r="S21" s="192">
        <v>12</v>
      </c>
      <c r="T21" s="192">
        <v>11</v>
      </c>
      <c r="U21" s="207"/>
      <c r="V21" s="207"/>
      <c r="W21" s="192">
        <f t="shared" si="2"/>
        <v>5237.2300000000005</v>
      </c>
      <c r="X21" s="192">
        <f t="shared" si="2"/>
        <v>3164.1998299999996</v>
      </c>
      <c r="Y21" s="192">
        <v>83.711500000000001</v>
      </c>
      <c r="Z21" s="192">
        <v>429.87436499999995</v>
      </c>
      <c r="AA21" s="192">
        <v>69.19</v>
      </c>
      <c r="AB21" s="192">
        <v>374.98059999999998</v>
      </c>
      <c r="AC21" s="192">
        <v>595.90000000000009</v>
      </c>
      <c r="AD21" s="192">
        <v>1945.8457188000002</v>
      </c>
      <c r="AE21" s="192">
        <v>675.78</v>
      </c>
      <c r="AF21" s="192">
        <v>2124.6511399999999</v>
      </c>
      <c r="AG21" s="192">
        <v>2447.2391084999999</v>
      </c>
      <c r="AH21" s="192">
        <v>521.38599857741701</v>
      </c>
      <c r="AI21" s="192">
        <v>2233.1800000000003</v>
      </c>
      <c r="AJ21" s="192">
        <v>484.98071000000004</v>
      </c>
      <c r="AK21" s="192">
        <v>2447.2391084999999</v>
      </c>
      <c r="AL21" s="192">
        <v>200.73723511382099</v>
      </c>
      <c r="AM21" s="192">
        <v>2259.08</v>
      </c>
      <c r="AN21" s="192">
        <v>179.58738</v>
      </c>
      <c r="AO21" s="191">
        <v>166.8</v>
      </c>
      <c r="AP21" s="191">
        <v>132.18</v>
      </c>
      <c r="AQ21" s="191">
        <v>78.599999999999994</v>
      </c>
      <c r="AR21" s="191">
        <v>62.3063</v>
      </c>
    </row>
    <row r="22" spans="1:44" ht="25.5" x14ac:dyDescent="0.25">
      <c r="A22" s="186" t="s">
        <v>612</v>
      </c>
      <c r="B22" s="190"/>
      <c r="C22" s="192"/>
      <c r="D22" s="192">
        <v>154</v>
      </c>
      <c r="E22" s="192">
        <v>180</v>
      </c>
      <c r="F22" s="192">
        <v>27102</v>
      </c>
      <c r="G22" s="192">
        <v>7</v>
      </c>
      <c r="H22" s="192"/>
      <c r="I22" s="192"/>
      <c r="J22" s="192"/>
      <c r="K22" s="191">
        <v>42.5</v>
      </c>
      <c r="L22" s="192">
        <v>43</v>
      </c>
      <c r="M22" s="192">
        <v>2</v>
      </c>
      <c r="N22" s="192">
        <v>3</v>
      </c>
      <c r="O22" s="191">
        <v>28.5</v>
      </c>
      <c r="P22" s="192">
        <v>27</v>
      </c>
      <c r="Q22" s="191">
        <v>13</v>
      </c>
      <c r="R22" s="192">
        <v>12</v>
      </c>
      <c r="S22" s="192">
        <v>12</v>
      </c>
      <c r="T22" s="192">
        <v>13</v>
      </c>
      <c r="U22" s="207"/>
      <c r="V22" s="207"/>
      <c r="W22" s="192">
        <f t="shared" si="2"/>
        <v>7689.01</v>
      </c>
      <c r="X22" s="192">
        <f t="shared" si="2"/>
        <v>3872.9854700000005</v>
      </c>
      <c r="Y22" s="192">
        <v>123.50000000000001</v>
      </c>
      <c r="Z22" s="192">
        <v>639.28752000000009</v>
      </c>
      <c r="AA22" s="192">
        <v>148.87</v>
      </c>
      <c r="AB22" s="192">
        <v>846.68898999999999</v>
      </c>
      <c r="AC22" s="192">
        <v>819.30000000000007</v>
      </c>
      <c r="AD22" s="192">
        <v>2669.5630860000001</v>
      </c>
      <c r="AE22" s="192">
        <v>626.07000000000005</v>
      </c>
      <c r="AF22" s="192">
        <v>1968.06745</v>
      </c>
      <c r="AG22" s="192">
        <v>2312.2333333333336</v>
      </c>
      <c r="AH22" s="192">
        <v>505.88812829999995</v>
      </c>
      <c r="AI22" s="192">
        <v>3382.6</v>
      </c>
      <c r="AJ22" s="192">
        <v>746.58798000000002</v>
      </c>
      <c r="AK22" s="192">
        <v>2312.2333333333336</v>
      </c>
      <c r="AL22" s="192">
        <v>189.66325139999998</v>
      </c>
      <c r="AM22" s="192">
        <v>3531.47</v>
      </c>
      <c r="AN22" s="192">
        <v>311.64105000000001</v>
      </c>
      <c r="AO22" s="191">
        <v>166.8</v>
      </c>
      <c r="AP22" s="191">
        <v>132.18</v>
      </c>
      <c r="AQ22" s="191">
        <v>139.80000000000001</v>
      </c>
      <c r="AR22" s="191">
        <v>110.7826</v>
      </c>
    </row>
  </sheetData>
  <mergeCells count="49">
    <mergeCell ref="A1:T1"/>
    <mergeCell ref="B2:E2"/>
    <mergeCell ref="B3:E3"/>
    <mergeCell ref="K4:L4"/>
    <mergeCell ref="O4:R4"/>
    <mergeCell ref="F4:F7"/>
    <mergeCell ref="G4:G7"/>
    <mergeCell ref="A4:A7"/>
    <mergeCell ref="B4:B7"/>
    <mergeCell ref="C4:C7"/>
    <mergeCell ref="D4:D7"/>
    <mergeCell ref="E4:E7"/>
    <mergeCell ref="H4:J6"/>
    <mergeCell ref="K5:K7"/>
    <mergeCell ref="L5:L7"/>
    <mergeCell ref="M5:M7"/>
    <mergeCell ref="AQ6:AQ7"/>
    <mergeCell ref="AR6:AR7"/>
    <mergeCell ref="W4:AN4"/>
    <mergeCell ref="AO4:AR4"/>
    <mergeCell ref="Y5:AB5"/>
    <mergeCell ref="AC5:AF5"/>
    <mergeCell ref="AG5:AJ5"/>
    <mergeCell ref="AK5:AN5"/>
    <mergeCell ref="AO5:AP5"/>
    <mergeCell ref="AQ5:AR5"/>
    <mergeCell ref="Y6:Z6"/>
    <mergeCell ref="AA6:AB6"/>
    <mergeCell ref="AC6:AD6"/>
    <mergeCell ref="AE6:AF6"/>
    <mergeCell ref="AG6:AH6"/>
    <mergeCell ref="AI6:AJ6"/>
    <mergeCell ref="M4:N4"/>
    <mergeCell ref="S4:T4"/>
    <mergeCell ref="T5:T7"/>
    <mergeCell ref="S5:S7"/>
    <mergeCell ref="O6:O7"/>
    <mergeCell ref="P6:P7"/>
    <mergeCell ref="Q6:Q7"/>
    <mergeCell ref="R6:R7"/>
    <mergeCell ref="O5:P5"/>
    <mergeCell ref="Q5:R5"/>
    <mergeCell ref="N5:N7"/>
    <mergeCell ref="U4:V6"/>
    <mergeCell ref="AM6:AN6"/>
    <mergeCell ref="AO6:AO7"/>
    <mergeCell ref="AP6:AP7"/>
    <mergeCell ref="AK6:AL6"/>
    <mergeCell ref="W5:X6"/>
  </mergeCell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00B0F0"/>
  </sheetPr>
  <dimension ref="A1:E152"/>
  <sheetViews>
    <sheetView zoomScaleNormal="100" workbookViewId="0">
      <selection activeCell="F127" sqref="F127"/>
    </sheetView>
  </sheetViews>
  <sheetFormatPr defaultRowHeight="15" x14ac:dyDescent="0.25"/>
  <cols>
    <col min="1" max="1" width="41.28515625" customWidth="1"/>
    <col min="2" max="2" width="17" customWidth="1"/>
    <col min="3" max="3" width="10.85546875" customWidth="1"/>
    <col min="4" max="4" width="17.85546875" customWidth="1"/>
    <col min="5" max="5" width="14.7109375" customWidth="1"/>
  </cols>
  <sheetData>
    <row r="1" spans="1:5" ht="18" x14ac:dyDescent="0.25">
      <c r="A1" s="254" t="s">
        <v>141</v>
      </c>
      <c r="B1" s="254"/>
    </row>
    <row r="2" spans="1:5" x14ac:dyDescent="0.25">
      <c r="A2" s="229" t="s">
        <v>896</v>
      </c>
      <c r="B2" s="10"/>
    </row>
    <row r="3" spans="1:5" x14ac:dyDescent="0.25">
      <c r="A3" s="229" t="s">
        <v>591</v>
      </c>
      <c r="B3" s="168"/>
    </row>
    <row r="4" spans="1:5" ht="22.5" x14ac:dyDescent="0.25">
      <c r="A4" s="290" t="s">
        <v>3</v>
      </c>
      <c r="B4" s="290"/>
      <c r="C4" s="290"/>
      <c r="D4" s="290"/>
      <c r="E4" s="292" t="s">
        <v>515</v>
      </c>
    </row>
    <row r="5" spans="1:5" ht="42" x14ac:dyDescent="0.25">
      <c r="A5" s="46" t="s">
        <v>142</v>
      </c>
      <c r="B5" s="176"/>
      <c r="C5" s="176"/>
      <c r="D5" s="176"/>
      <c r="E5" s="209" t="s">
        <v>714</v>
      </c>
    </row>
    <row r="6" spans="1:5" x14ac:dyDescent="0.25">
      <c r="A6" s="48" t="s">
        <v>143</v>
      </c>
      <c r="B6" s="176"/>
      <c r="C6" s="176"/>
      <c r="D6" s="176"/>
      <c r="E6" s="203">
        <v>512</v>
      </c>
    </row>
    <row r="7" spans="1:5" x14ac:dyDescent="0.25">
      <c r="A7" s="46" t="s">
        <v>144</v>
      </c>
      <c r="B7" s="176"/>
      <c r="C7" s="176"/>
      <c r="D7" s="176"/>
      <c r="E7" s="203">
        <v>79</v>
      </c>
    </row>
    <row r="8" spans="1:5" x14ac:dyDescent="0.25">
      <c r="A8" s="322" t="s">
        <v>516</v>
      </c>
      <c r="B8" s="322"/>
      <c r="C8" s="323" t="s">
        <v>517</v>
      </c>
      <c r="D8" s="323"/>
      <c r="E8" s="203">
        <v>32</v>
      </c>
    </row>
    <row r="9" spans="1:5" x14ac:dyDescent="0.25">
      <c r="A9" s="322"/>
      <c r="B9" s="322"/>
      <c r="C9" s="323" t="s">
        <v>518</v>
      </c>
      <c r="D9" s="323"/>
      <c r="E9" s="203">
        <v>811</v>
      </c>
    </row>
    <row r="10" spans="1:5" x14ac:dyDescent="0.25">
      <c r="A10" s="322" t="s">
        <v>519</v>
      </c>
      <c r="B10" s="322"/>
      <c r="C10" s="323" t="s">
        <v>517</v>
      </c>
      <c r="D10" s="323"/>
      <c r="E10" s="203">
        <v>2046</v>
      </c>
    </row>
    <row r="11" spans="1:5" x14ac:dyDescent="0.25">
      <c r="A11" s="322"/>
      <c r="B11" s="322"/>
      <c r="C11" s="323" t="s">
        <v>520</v>
      </c>
      <c r="D11" s="323"/>
      <c r="E11" s="203">
        <v>104346</v>
      </c>
    </row>
    <row r="12" spans="1:5" x14ac:dyDescent="0.25">
      <c r="A12" s="324" t="s">
        <v>521</v>
      </c>
      <c r="B12" s="324"/>
      <c r="C12" s="323" t="s">
        <v>517</v>
      </c>
      <c r="D12" s="323"/>
      <c r="E12" s="203">
        <v>0</v>
      </c>
    </row>
    <row r="13" spans="1:5" x14ac:dyDescent="0.25">
      <c r="A13" s="324"/>
      <c r="B13" s="324"/>
      <c r="C13" s="323" t="s">
        <v>520</v>
      </c>
      <c r="D13" s="323"/>
      <c r="E13" s="203">
        <v>0</v>
      </c>
    </row>
    <row r="14" spans="1:5" x14ac:dyDescent="0.25">
      <c r="A14" s="46" t="s">
        <v>145</v>
      </c>
      <c r="B14" s="176"/>
      <c r="C14" s="176"/>
      <c r="D14" s="176"/>
      <c r="E14" s="203">
        <v>73.75</v>
      </c>
    </row>
    <row r="15" spans="1:5" x14ac:dyDescent="0.25">
      <c r="A15" s="325" t="s">
        <v>507</v>
      </c>
      <c r="B15" s="325"/>
      <c r="C15" s="325"/>
      <c r="D15" s="326" t="s">
        <v>490</v>
      </c>
      <c r="E15" s="203">
        <v>14969.87</v>
      </c>
    </row>
    <row r="16" spans="1:5" x14ac:dyDescent="0.25">
      <c r="A16" s="325"/>
      <c r="B16" s="325"/>
      <c r="C16" s="325"/>
      <c r="D16" s="326" t="s">
        <v>491</v>
      </c>
      <c r="E16" s="203">
        <v>11476.82</v>
      </c>
    </row>
    <row r="17" spans="1:5" x14ac:dyDescent="0.25">
      <c r="A17" s="327" t="s">
        <v>497</v>
      </c>
      <c r="B17" s="325" t="s">
        <v>506</v>
      </c>
      <c r="C17" s="325"/>
      <c r="D17" s="326" t="s">
        <v>490</v>
      </c>
      <c r="E17" s="203">
        <v>14809.89</v>
      </c>
    </row>
    <row r="18" spans="1:5" x14ac:dyDescent="0.25">
      <c r="A18" s="327"/>
      <c r="B18" s="325"/>
      <c r="C18" s="325"/>
      <c r="D18" s="326" t="s">
        <v>491</v>
      </c>
      <c r="E18" s="203">
        <v>11056.82</v>
      </c>
    </row>
    <row r="19" spans="1:5" x14ac:dyDescent="0.25">
      <c r="A19" s="327"/>
      <c r="B19" s="327" t="s">
        <v>495</v>
      </c>
      <c r="C19" s="327" t="s">
        <v>496</v>
      </c>
      <c r="D19" s="328" t="s">
        <v>499</v>
      </c>
      <c r="E19" s="203">
        <v>11056.82</v>
      </c>
    </row>
    <row r="20" spans="1:5" x14ac:dyDescent="0.25">
      <c r="A20" s="327"/>
      <c r="B20" s="327"/>
      <c r="C20" s="327"/>
      <c r="D20" s="328" t="s">
        <v>500</v>
      </c>
      <c r="E20" s="203">
        <v>589.89</v>
      </c>
    </row>
    <row r="21" spans="1:5" x14ac:dyDescent="0.25">
      <c r="A21" s="327"/>
      <c r="B21" s="327"/>
      <c r="C21" s="327" t="s">
        <v>491</v>
      </c>
      <c r="D21" s="328" t="s">
        <v>499</v>
      </c>
      <c r="E21" s="203">
        <v>2465.89</v>
      </c>
    </row>
    <row r="22" spans="1:5" x14ac:dyDescent="0.25">
      <c r="A22" s="327"/>
      <c r="B22" s="327"/>
      <c r="C22" s="327"/>
      <c r="D22" s="328" t="s">
        <v>500</v>
      </c>
      <c r="E22" s="203">
        <v>2465.59</v>
      </c>
    </row>
    <row r="23" spans="1:5" ht="31.5" x14ac:dyDescent="0.25">
      <c r="A23" s="327"/>
      <c r="B23" s="327" t="s">
        <v>498</v>
      </c>
      <c r="C23" s="327" t="s">
        <v>496</v>
      </c>
      <c r="D23" s="329" t="s">
        <v>504</v>
      </c>
      <c r="E23" s="203">
        <v>689.06</v>
      </c>
    </row>
    <row r="24" spans="1:5" x14ac:dyDescent="0.25">
      <c r="A24" s="327"/>
      <c r="B24" s="327"/>
      <c r="C24" s="327"/>
      <c r="D24" s="328" t="s">
        <v>500</v>
      </c>
      <c r="E24" s="203">
        <v>3210.81</v>
      </c>
    </row>
    <row r="25" spans="1:5" ht="31.5" x14ac:dyDescent="0.25">
      <c r="A25" s="327"/>
      <c r="B25" s="327"/>
      <c r="C25" s="327" t="s">
        <v>491</v>
      </c>
      <c r="D25" s="329" t="s">
        <v>504</v>
      </c>
      <c r="E25" s="203">
        <v>2964</v>
      </c>
    </row>
    <row r="26" spans="1:5" x14ac:dyDescent="0.25">
      <c r="A26" s="327"/>
      <c r="B26" s="327"/>
      <c r="C26" s="327"/>
      <c r="D26" s="328" t="s">
        <v>500</v>
      </c>
      <c r="E26" s="203">
        <v>8062</v>
      </c>
    </row>
    <row r="27" spans="1:5" x14ac:dyDescent="0.25">
      <c r="A27" s="327"/>
      <c r="B27" s="330" t="s">
        <v>505</v>
      </c>
      <c r="C27" s="327" t="s">
        <v>496</v>
      </c>
      <c r="D27" s="328" t="s">
        <v>502</v>
      </c>
      <c r="E27" s="203">
        <v>1391.87</v>
      </c>
    </row>
    <row r="28" spans="1:5" x14ac:dyDescent="0.25">
      <c r="A28" s="327"/>
      <c r="B28" s="330"/>
      <c r="C28" s="327"/>
      <c r="D28" s="328" t="s">
        <v>500</v>
      </c>
      <c r="E28" s="203">
        <v>3724.59</v>
      </c>
    </row>
    <row r="29" spans="1:5" x14ac:dyDescent="0.25">
      <c r="A29" s="327"/>
      <c r="B29" s="330"/>
      <c r="C29" s="327" t="s">
        <v>491</v>
      </c>
      <c r="D29" s="328" t="s">
        <v>502</v>
      </c>
      <c r="E29" s="203">
        <v>2382</v>
      </c>
    </row>
    <row r="30" spans="1:5" x14ac:dyDescent="0.25">
      <c r="A30" s="327"/>
      <c r="B30" s="330"/>
      <c r="C30" s="327"/>
      <c r="D30" s="328" t="s">
        <v>500</v>
      </c>
      <c r="E30" s="203">
        <v>367.11</v>
      </c>
    </row>
    <row r="31" spans="1:5" x14ac:dyDescent="0.25">
      <c r="A31" s="327"/>
      <c r="B31" s="327" t="s">
        <v>501</v>
      </c>
      <c r="C31" s="327" t="s">
        <v>496</v>
      </c>
      <c r="D31" s="328" t="s">
        <v>502</v>
      </c>
      <c r="E31" s="203">
        <v>2372.9</v>
      </c>
    </row>
    <row r="32" spans="1:5" x14ac:dyDescent="0.25">
      <c r="A32" s="327"/>
      <c r="B32" s="327"/>
      <c r="C32" s="327"/>
      <c r="D32" s="328" t="s">
        <v>500</v>
      </c>
      <c r="E32" s="203">
        <v>389.56</v>
      </c>
    </row>
    <row r="33" spans="1:5" x14ac:dyDescent="0.25">
      <c r="A33" s="327"/>
      <c r="B33" s="327"/>
      <c r="C33" s="327" t="s">
        <v>491</v>
      </c>
      <c r="D33" s="328" t="s">
        <v>502</v>
      </c>
      <c r="E33" s="203">
        <v>2382</v>
      </c>
    </row>
    <row r="34" spans="1:5" x14ac:dyDescent="0.25">
      <c r="A34" s="327"/>
      <c r="B34" s="327"/>
      <c r="C34" s="327"/>
      <c r="D34" s="328" t="s">
        <v>500</v>
      </c>
      <c r="E34" s="203">
        <v>162.12</v>
      </c>
    </row>
    <row r="35" spans="1:5" x14ac:dyDescent="0.25">
      <c r="A35" s="327" t="s">
        <v>503</v>
      </c>
      <c r="B35" s="327" t="s">
        <v>490</v>
      </c>
      <c r="C35" s="327" t="s">
        <v>502</v>
      </c>
      <c r="D35" s="327"/>
      <c r="E35" s="203">
        <v>2372.9</v>
      </c>
    </row>
    <row r="36" spans="1:5" x14ac:dyDescent="0.25">
      <c r="A36" s="327"/>
      <c r="B36" s="327"/>
      <c r="C36" s="327" t="s">
        <v>500</v>
      </c>
      <c r="D36" s="327"/>
      <c r="E36" s="203">
        <v>159.97999999999999</v>
      </c>
    </row>
    <row r="37" spans="1:5" x14ac:dyDescent="0.25">
      <c r="A37" s="327"/>
      <c r="B37" s="327" t="s">
        <v>491</v>
      </c>
      <c r="C37" s="327" t="s">
        <v>502</v>
      </c>
      <c r="D37" s="327"/>
      <c r="E37" s="203">
        <v>420</v>
      </c>
    </row>
    <row r="38" spans="1:5" x14ac:dyDescent="0.25">
      <c r="A38" s="327"/>
      <c r="B38" s="327"/>
      <c r="C38" s="327" t="s">
        <v>500</v>
      </c>
      <c r="D38" s="327"/>
      <c r="E38" s="203">
        <v>420</v>
      </c>
    </row>
    <row r="39" spans="1:5" ht="21" x14ac:dyDescent="0.25">
      <c r="A39" s="46" t="s">
        <v>146</v>
      </c>
      <c r="B39" s="176"/>
      <c r="C39" s="176"/>
      <c r="D39" s="176"/>
      <c r="E39" s="209" t="s">
        <v>715</v>
      </c>
    </row>
    <row r="40" spans="1:5" x14ac:dyDescent="0.25">
      <c r="A40" s="46" t="s">
        <v>147</v>
      </c>
      <c r="B40" s="176"/>
      <c r="C40" s="176"/>
      <c r="D40" s="176"/>
      <c r="E40" s="203">
        <v>11308</v>
      </c>
    </row>
    <row r="41" spans="1:5" x14ac:dyDescent="0.25">
      <c r="A41" s="46" t="s">
        <v>144</v>
      </c>
      <c r="B41" s="176"/>
      <c r="C41" s="176"/>
      <c r="D41" s="176"/>
      <c r="E41" s="203">
        <v>44.25</v>
      </c>
    </row>
    <row r="42" spans="1:5" x14ac:dyDescent="0.25">
      <c r="A42" s="46" t="s">
        <v>145</v>
      </c>
      <c r="B42" s="176"/>
      <c r="C42" s="176"/>
      <c r="D42" s="176"/>
      <c r="E42" s="203">
        <v>45</v>
      </c>
    </row>
    <row r="43" spans="1:5" x14ac:dyDescent="0.25">
      <c r="A43" s="325" t="s">
        <v>507</v>
      </c>
      <c r="B43" s="325"/>
      <c r="C43" s="325"/>
      <c r="D43" s="326" t="s">
        <v>490</v>
      </c>
      <c r="E43" s="203">
        <v>1824873.69</v>
      </c>
    </row>
    <row r="44" spans="1:5" x14ac:dyDescent="0.25">
      <c r="A44" s="325"/>
      <c r="B44" s="325"/>
      <c r="C44" s="325"/>
      <c r="D44" s="326" t="s">
        <v>491</v>
      </c>
      <c r="E44" s="203">
        <v>1701853.19</v>
      </c>
    </row>
    <row r="45" spans="1:5" x14ac:dyDescent="0.25">
      <c r="A45" s="327" t="s">
        <v>497</v>
      </c>
      <c r="B45" s="325" t="s">
        <v>506</v>
      </c>
      <c r="C45" s="325"/>
      <c r="D45" s="326" t="s">
        <v>490</v>
      </c>
      <c r="E45" s="203">
        <v>1814938.1</v>
      </c>
    </row>
    <row r="46" spans="1:5" x14ac:dyDescent="0.25">
      <c r="A46" s="327"/>
      <c r="B46" s="325"/>
      <c r="C46" s="325"/>
      <c r="D46" s="326" t="s">
        <v>491</v>
      </c>
      <c r="E46" s="203">
        <v>1691917.6</v>
      </c>
    </row>
    <row r="47" spans="1:5" x14ac:dyDescent="0.25">
      <c r="A47" s="327"/>
      <c r="B47" s="327" t="s">
        <v>495</v>
      </c>
      <c r="C47" s="327" t="s">
        <v>496</v>
      </c>
      <c r="D47" s="328" t="s">
        <v>499</v>
      </c>
      <c r="E47" s="203">
        <v>63248.54</v>
      </c>
    </row>
    <row r="48" spans="1:5" x14ac:dyDescent="0.25">
      <c r="A48" s="327"/>
      <c r="B48" s="327"/>
      <c r="C48" s="327"/>
      <c r="D48" s="328" t="s">
        <v>500</v>
      </c>
      <c r="E48" s="203">
        <v>294099.39</v>
      </c>
    </row>
    <row r="49" spans="1:5" x14ac:dyDescent="0.25">
      <c r="A49" s="327"/>
      <c r="B49" s="327"/>
      <c r="C49" s="327" t="s">
        <v>491</v>
      </c>
      <c r="D49" s="328" t="s">
        <v>499</v>
      </c>
      <c r="E49" s="203">
        <v>38200</v>
      </c>
    </row>
    <row r="50" spans="1:5" x14ac:dyDescent="0.25">
      <c r="A50" s="327"/>
      <c r="B50" s="327"/>
      <c r="C50" s="327"/>
      <c r="D50" s="328" t="s">
        <v>500</v>
      </c>
      <c r="E50" s="203">
        <v>204778.68</v>
      </c>
    </row>
    <row r="51" spans="1:5" ht="31.5" x14ac:dyDescent="0.25">
      <c r="A51" s="327"/>
      <c r="B51" s="327" t="s">
        <v>498</v>
      </c>
      <c r="C51" s="327" t="s">
        <v>496</v>
      </c>
      <c r="D51" s="329" t="s">
        <v>504</v>
      </c>
      <c r="E51" s="203">
        <v>461.89</v>
      </c>
    </row>
    <row r="52" spans="1:5" x14ac:dyDescent="0.25">
      <c r="A52" s="327"/>
      <c r="B52" s="327"/>
      <c r="C52" s="327"/>
      <c r="D52" s="328" t="s">
        <v>500</v>
      </c>
      <c r="E52" s="203">
        <v>1489570.52</v>
      </c>
    </row>
    <row r="53" spans="1:5" ht="31.5" x14ac:dyDescent="0.25">
      <c r="A53" s="327"/>
      <c r="B53" s="327"/>
      <c r="C53" s="327" t="s">
        <v>491</v>
      </c>
      <c r="D53" s="329" t="s">
        <v>504</v>
      </c>
      <c r="E53" s="203">
        <v>461.89</v>
      </c>
    </row>
    <row r="54" spans="1:5" x14ac:dyDescent="0.25">
      <c r="A54" s="327"/>
      <c r="B54" s="327"/>
      <c r="C54" s="327"/>
      <c r="D54" s="328" t="s">
        <v>500</v>
      </c>
      <c r="E54" s="203">
        <v>1455870.73</v>
      </c>
    </row>
    <row r="55" spans="1:5" x14ac:dyDescent="0.25">
      <c r="A55" s="327"/>
      <c r="B55" s="330" t="s">
        <v>505</v>
      </c>
      <c r="C55" s="327" t="s">
        <v>496</v>
      </c>
      <c r="D55" s="328" t="s">
        <v>502</v>
      </c>
      <c r="E55" s="203">
        <v>149.9</v>
      </c>
    </row>
    <row r="56" spans="1:5" x14ac:dyDescent="0.25">
      <c r="A56" s="327"/>
      <c r="B56" s="330"/>
      <c r="C56" s="327"/>
      <c r="D56" s="328" t="s">
        <v>500</v>
      </c>
      <c r="E56" s="203">
        <v>19343.59</v>
      </c>
    </row>
    <row r="57" spans="1:5" x14ac:dyDescent="0.25">
      <c r="A57" s="327"/>
      <c r="B57" s="330"/>
      <c r="C57" s="327" t="s">
        <v>491</v>
      </c>
      <c r="D57" s="328" t="s">
        <v>502</v>
      </c>
      <c r="E57" s="203">
        <v>149.9</v>
      </c>
    </row>
    <row r="58" spans="1:5" x14ac:dyDescent="0.25">
      <c r="A58" s="327"/>
      <c r="B58" s="330"/>
      <c r="C58" s="327"/>
      <c r="D58" s="328" t="s">
        <v>500</v>
      </c>
      <c r="E58" s="203">
        <v>19343.59</v>
      </c>
    </row>
    <row r="59" spans="1:5" x14ac:dyDescent="0.25">
      <c r="A59" s="327"/>
      <c r="B59" s="327" t="s">
        <v>501</v>
      </c>
      <c r="C59" s="327" t="s">
        <v>496</v>
      </c>
      <c r="D59" s="328" t="s">
        <v>502</v>
      </c>
      <c r="E59" s="203">
        <v>149.91999999999999</v>
      </c>
    </row>
    <row r="60" spans="1:5" x14ac:dyDescent="0.25">
      <c r="A60" s="327"/>
      <c r="B60" s="327"/>
      <c r="C60" s="327"/>
      <c r="D60" s="328" t="s">
        <v>500</v>
      </c>
      <c r="E60" s="203">
        <v>11924.6</v>
      </c>
    </row>
    <row r="61" spans="1:5" x14ac:dyDescent="0.25">
      <c r="A61" s="327"/>
      <c r="B61" s="327"/>
      <c r="C61" s="327" t="s">
        <v>491</v>
      </c>
      <c r="D61" s="328" t="s">
        <v>502</v>
      </c>
      <c r="E61" s="203">
        <v>149.91999999999999</v>
      </c>
    </row>
    <row r="62" spans="1:5" x14ac:dyDescent="0.25">
      <c r="A62" s="327"/>
      <c r="B62" s="327"/>
      <c r="C62" s="327"/>
      <c r="D62" s="328" t="s">
        <v>500</v>
      </c>
      <c r="E62" s="203">
        <v>11924.6</v>
      </c>
    </row>
    <row r="63" spans="1:5" x14ac:dyDescent="0.25">
      <c r="A63" s="327" t="s">
        <v>503</v>
      </c>
      <c r="B63" s="327" t="s">
        <v>490</v>
      </c>
      <c r="C63" s="327" t="s">
        <v>502</v>
      </c>
      <c r="D63" s="327"/>
      <c r="E63" s="203">
        <v>12.54</v>
      </c>
    </row>
    <row r="64" spans="1:5" x14ac:dyDescent="0.25">
      <c r="A64" s="327"/>
      <c r="B64" s="327"/>
      <c r="C64" s="327" t="s">
        <v>500</v>
      </c>
      <c r="D64" s="327"/>
      <c r="E64" s="203">
        <v>9935.59</v>
      </c>
    </row>
    <row r="65" spans="1:5" x14ac:dyDescent="0.25">
      <c r="A65" s="327"/>
      <c r="B65" s="327" t="s">
        <v>491</v>
      </c>
      <c r="C65" s="327" t="s">
        <v>502</v>
      </c>
      <c r="D65" s="327"/>
      <c r="E65" s="203">
        <v>12.54</v>
      </c>
    </row>
    <row r="66" spans="1:5" x14ac:dyDescent="0.25">
      <c r="A66" s="327"/>
      <c r="B66" s="327"/>
      <c r="C66" s="327" t="s">
        <v>500</v>
      </c>
      <c r="D66" s="327"/>
      <c r="E66" s="203">
        <v>9935.59</v>
      </c>
    </row>
    <row r="67" spans="1:5" ht="63" x14ac:dyDescent="0.25">
      <c r="A67" s="46" t="s">
        <v>148</v>
      </c>
      <c r="B67" s="176"/>
      <c r="C67" s="176"/>
      <c r="D67" s="176"/>
      <c r="E67" s="209" t="s">
        <v>716</v>
      </c>
    </row>
    <row r="68" spans="1:5" x14ac:dyDescent="0.25">
      <c r="A68" s="46" t="s">
        <v>468</v>
      </c>
      <c r="B68" s="176"/>
      <c r="C68" s="176"/>
      <c r="D68" s="176"/>
      <c r="E68" s="203"/>
    </row>
    <row r="69" spans="1:5" x14ac:dyDescent="0.25">
      <c r="A69" s="48" t="s">
        <v>149</v>
      </c>
      <c r="B69" s="176"/>
      <c r="C69" s="176"/>
      <c r="D69" s="176"/>
      <c r="E69" s="203">
        <v>3654</v>
      </c>
    </row>
    <row r="70" spans="1:5" x14ac:dyDescent="0.25">
      <c r="A70" s="46" t="s">
        <v>144</v>
      </c>
      <c r="B70" s="176"/>
      <c r="C70" s="176"/>
      <c r="D70" s="176"/>
      <c r="E70" s="203">
        <v>9.92</v>
      </c>
    </row>
    <row r="71" spans="1:5" x14ac:dyDescent="0.25">
      <c r="A71" s="46" t="s">
        <v>145</v>
      </c>
      <c r="B71" s="176"/>
      <c r="C71" s="176"/>
      <c r="D71" s="176"/>
      <c r="E71" s="203">
        <v>9.4</v>
      </c>
    </row>
    <row r="72" spans="1:5" x14ac:dyDescent="0.25">
      <c r="A72" s="325" t="s">
        <v>507</v>
      </c>
      <c r="B72" s="325"/>
      <c r="C72" s="325"/>
      <c r="D72" s="326" t="s">
        <v>490</v>
      </c>
      <c r="E72" s="203">
        <v>2387.8000000000002</v>
      </c>
    </row>
    <row r="73" spans="1:5" x14ac:dyDescent="0.25">
      <c r="A73" s="325"/>
      <c r="B73" s="325"/>
      <c r="C73" s="325"/>
      <c r="D73" s="326" t="s">
        <v>491</v>
      </c>
      <c r="E73" s="203">
        <v>2560.54</v>
      </c>
    </row>
    <row r="74" spans="1:5" x14ac:dyDescent="0.25">
      <c r="A74" s="327" t="s">
        <v>497</v>
      </c>
      <c r="B74" s="325" t="s">
        <v>506</v>
      </c>
      <c r="C74" s="325"/>
      <c r="D74" s="326" t="s">
        <v>490</v>
      </c>
      <c r="E74" s="203">
        <v>2387.8000000000002</v>
      </c>
    </row>
    <row r="75" spans="1:5" x14ac:dyDescent="0.25">
      <c r="A75" s="327"/>
      <c r="B75" s="325"/>
      <c r="C75" s="325"/>
      <c r="D75" s="326" t="s">
        <v>491</v>
      </c>
      <c r="E75" s="203">
        <v>2560.54</v>
      </c>
    </row>
    <row r="76" spans="1:5" x14ac:dyDescent="0.25">
      <c r="A76" s="327"/>
      <c r="B76" s="327" t="s">
        <v>495</v>
      </c>
      <c r="C76" s="327" t="s">
        <v>496</v>
      </c>
      <c r="D76" s="328" t="s">
        <v>499</v>
      </c>
      <c r="E76" s="203">
        <v>18.71</v>
      </c>
    </row>
    <row r="77" spans="1:5" x14ac:dyDescent="0.25">
      <c r="A77" s="327"/>
      <c r="B77" s="327"/>
      <c r="C77" s="327"/>
      <c r="D77" s="328" t="s">
        <v>500</v>
      </c>
      <c r="E77" s="203">
        <v>80.02</v>
      </c>
    </row>
    <row r="78" spans="1:5" x14ac:dyDescent="0.25">
      <c r="A78" s="327"/>
      <c r="B78" s="327"/>
      <c r="C78" s="327" t="s">
        <v>491</v>
      </c>
      <c r="D78" s="328" t="s">
        <v>499</v>
      </c>
      <c r="E78" s="203">
        <v>14.5</v>
      </c>
    </row>
    <row r="79" spans="1:5" x14ac:dyDescent="0.25">
      <c r="A79" s="327"/>
      <c r="B79" s="327"/>
      <c r="C79" s="327"/>
      <c r="D79" s="328" t="s">
        <v>500</v>
      </c>
      <c r="E79" s="203">
        <v>72.92</v>
      </c>
    </row>
    <row r="80" spans="1:5" ht="31.5" x14ac:dyDescent="0.25">
      <c r="A80" s="327"/>
      <c r="B80" s="327" t="s">
        <v>498</v>
      </c>
      <c r="C80" s="327" t="s">
        <v>496</v>
      </c>
      <c r="D80" s="329" t="s">
        <v>504</v>
      </c>
      <c r="E80" s="203">
        <v>844.4</v>
      </c>
    </row>
    <row r="81" spans="1:5" x14ac:dyDescent="0.25">
      <c r="A81" s="327"/>
      <c r="B81" s="327"/>
      <c r="C81" s="327"/>
      <c r="D81" s="328" t="s">
        <v>500</v>
      </c>
      <c r="E81" s="203">
        <v>2291.4499999999998</v>
      </c>
    </row>
    <row r="82" spans="1:5" ht="31.5" x14ac:dyDescent="0.25">
      <c r="A82" s="327"/>
      <c r="B82" s="327"/>
      <c r="C82" s="327" t="s">
        <v>491</v>
      </c>
      <c r="D82" s="329" t="s">
        <v>504</v>
      </c>
      <c r="E82" s="203">
        <v>844.4</v>
      </c>
    </row>
    <row r="83" spans="1:5" x14ac:dyDescent="0.25">
      <c r="A83" s="327"/>
      <c r="B83" s="327"/>
      <c r="C83" s="327"/>
      <c r="D83" s="328" t="s">
        <v>500</v>
      </c>
      <c r="E83" s="203">
        <v>2468.56</v>
      </c>
    </row>
    <row r="84" spans="1:5" x14ac:dyDescent="0.25">
      <c r="A84" s="327"/>
      <c r="B84" s="330" t="s">
        <v>505</v>
      </c>
      <c r="C84" s="327" t="s">
        <v>496</v>
      </c>
      <c r="D84" s="328" t="s">
        <v>502</v>
      </c>
      <c r="E84" s="203">
        <v>72</v>
      </c>
    </row>
    <row r="85" spans="1:5" x14ac:dyDescent="0.25">
      <c r="A85" s="327"/>
      <c r="B85" s="330"/>
      <c r="C85" s="327"/>
      <c r="D85" s="328" t="s">
        <v>500</v>
      </c>
      <c r="E85" s="203">
        <v>11.46</v>
      </c>
    </row>
    <row r="86" spans="1:5" x14ac:dyDescent="0.25">
      <c r="A86" s="327"/>
      <c r="B86" s="330"/>
      <c r="C86" s="327" t="s">
        <v>491</v>
      </c>
      <c r="D86" s="328" t="s">
        <v>502</v>
      </c>
      <c r="E86" s="203">
        <v>72</v>
      </c>
    </row>
    <row r="87" spans="1:5" x14ac:dyDescent="0.25">
      <c r="A87" s="327"/>
      <c r="B87" s="330"/>
      <c r="C87" s="327"/>
      <c r="D87" s="328" t="s">
        <v>500</v>
      </c>
      <c r="E87" s="203">
        <v>13.6</v>
      </c>
    </row>
    <row r="88" spans="1:5" x14ac:dyDescent="0.25">
      <c r="A88" s="327"/>
      <c r="B88" s="327" t="s">
        <v>501</v>
      </c>
      <c r="C88" s="327" t="s">
        <v>496</v>
      </c>
      <c r="D88" s="328" t="s">
        <v>502</v>
      </c>
      <c r="E88" s="203">
        <v>72</v>
      </c>
    </row>
    <row r="89" spans="1:5" x14ac:dyDescent="0.25">
      <c r="A89" s="327"/>
      <c r="B89" s="327"/>
      <c r="C89" s="327"/>
      <c r="D89" s="328" t="s">
        <v>500</v>
      </c>
      <c r="E89" s="203">
        <v>4.87</v>
      </c>
    </row>
    <row r="90" spans="1:5" x14ac:dyDescent="0.25">
      <c r="A90" s="327"/>
      <c r="B90" s="327"/>
      <c r="C90" s="327" t="s">
        <v>491</v>
      </c>
      <c r="D90" s="328" t="s">
        <v>502</v>
      </c>
      <c r="E90" s="203">
        <v>72</v>
      </c>
    </row>
    <row r="91" spans="1:5" x14ac:dyDescent="0.25">
      <c r="A91" s="327"/>
      <c r="B91" s="327"/>
      <c r="C91" s="327"/>
      <c r="D91" s="328" t="s">
        <v>500</v>
      </c>
      <c r="E91" s="203">
        <v>5.46</v>
      </c>
    </row>
    <row r="92" spans="1:5" x14ac:dyDescent="0.25">
      <c r="A92" s="327" t="s">
        <v>503</v>
      </c>
      <c r="B92" s="327" t="s">
        <v>490</v>
      </c>
      <c r="C92" s="327" t="s">
        <v>502</v>
      </c>
      <c r="D92" s="327"/>
      <c r="E92" s="203">
        <v>0</v>
      </c>
    </row>
    <row r="93" spans="1:5" x14ac:dyDescent="0.25">
      <c r="A93" s="327"/>
      <c r="B93" s="327"/>
      <c r="C93" s="327" t="s">
        <v>500</v>
      </c>
      <c r="D93" s="327"/>
      <c r="E93" s="203">
        <v>0</v>
      </c>
    </row>
    <row r="94" spans="1:5" x14ac:dyDescent="0.25">
      <c r="A94" s="327"/>
      <c r="B94" s="327" t="s">
        <v>491</v>
      </c>
      <c r="C94" s="327" t="s">
        <v>502</v>
      </c>
      <c r="D94" s="327"/>
      <c r="E94" s="203">
        <v>0</v>
      </c>
    </row>
    <row r="95" spans="1:5" x14ac:dyDescent="0.25">
      <c r="A95" s="327"/>
      <c r="B95" s="327"/>
      <c r="C95" s="327" t="s">
        <v>500</v>
      </c>
      <c r="D95" s="327"/>
      <c r="E95" s="203">
        <v>0</v>
      </c>
    </row>
    <row r="96" spans="1:5" ht="63" x14ac:dyDescent="0.25">
      <c r="A96" s="46" t="s">
        <v>150</v>
      </c>
      <c r="B96" s="176"/>
      <c r="C96" s="176"/>
      <c r="D96" s="176"/>
      <c r="E96" s="210" t="s">
        <v>717</v>
      </c>
    </row>
    <row r="97" spans="1:5" x14ac:dyDescent="0.25">
      <c r="A97" s="46" t="s">
        <v>468</v>
      </c>
      <c r="B97" s="176"/>
      <c r="C97" s="176"/>
      <c r="D97" s="176"/>
      <c r="E97" s="203" t="s">
        <v>718</v>
      </c>
    </row>
    <row r="98" spans="1:5" x14ac:dyDescent="0.25">
      <c r="A98" s="48" t="s">
        <v>143</v>
      </c>
      <c r="B98" s="176"/>
      <c r="C98" s="176"/>
      <c r="D98" s="176"/>
      <c r="E98" s="203">
        <v>500</v>
      </c>
    </row>
    <row r="99" spans="1:5" x14ac:dyDescent="0.25">
      <c r="A99" s="46" t="s">
        <v>144</v>
      </c>
      <c r="B99" s="176"/>
      <c r="C99" s="176"/>
      <c r="D99" s="176"/>
      <c r="E99" s="203">
        <v>61</v>
      </c>
    </row>
    <row r="100" spans="1:5" x14ac:dyDescent="0.25">
      <c r="A100" s="46" t="s">
        <v>145</v>
      </c>
      <c r="B100" s="176"/>
      <c r="C100" s="176"/>
      <c r="D100" s="176"/>
      <c r="E100" s="203">
        <v>58</v>
      </c>
    </row>
    <row r="101" spans="1:5" x14ac:dyDescent="0.25">
      <c r="A101" s="325" t="s">
        <v>507</v>
      </c>
      <c r="B101" s="325"/>
      <c r="C101" s="325"/>
      <c r="D101" s="326" t="s">
        <v>490</v>
      </c>
      <c r="E101" s="203"/>
    </row>
    <row r="102" spans="1:5" x14ac:dyDescent="0.25">
      <c r="A102" s="325"/>
      <c r="B102" s="325"/>
      <c r="C102" s="325"/>
      <c r="D102" s="326" t="s">
        <v>491</v>
      </c>
      <c r="E102" s="211">
        <v>4725.7719999999999</v>
      </c>
    </row>
    <row r="103" spans="1:5" x14ac:dyDescent="0.25">
      <c r="A103" s="327" t="s">
        <v>497</v>
      </c>
      <c r="B103" s="325" t="s">
        <v>506</v>
      </c>
      <c r="C103" s="325"/>
      <c r="D103" s="326" t="s">
        <v>490</v>
      </c>
      <c r="E103" s="203"/>
    </row>
    <row r="104" spans="1:5" x14ac:dyDescent="0.25">
      <c r="A104" s="327"/>
      <c r="B104" s="325"/>
      <c r="C104" s="325"/>
      <c r="D104" s="326" t="s">
        <v>491</v>
      </c>
      <c r="E104" s="203">
        <v>4725.7719999999999</v>
      </c>
    </row>
    <row r="105" spans="1:5" x14ac:dyDescent="0.25">
      <c r="A105" s="327"/>
      <c r="B105" s="327" t="s">
        <v>495</v>
      </c>
      <c r="C105" s="327" t="s">
        <v>496</v>
      </c>
      <c r="D105" s="328" t="s">
        <v>499</v>
      </c>
      <c r="E105" s="203"/>
    </row>
    <row r="106" spans="1:5" x14ac:dyDescent="0.25">
      <c r="A106" s="327"/>
      <c r="B106" s="327"/>
      <c r="C106" s="327"/>
      <c r="D106" s="328" t="s">
        <v>500</v>
      </c>
      <c r="E106" s="203"/>
    </row>
    <row r="107" spans="1:5" x14ac:dyDescent="0.25">
      <c r="A107" s="327"/>
      <c r="B107" s="327"/>
      <c r="C107" s="327" t="s">
        <v>491</v>
      </c>
      <c r="D107" s="328" t="s">
        <v>499</v>
      </c>
      <c r="E107" s="211">
        <v>354.36200000000002</v>
      </c>
    </row>
    <row r="108" spans="1:5" x14ac:dyDescent="0.25">
      <c r="A108" s="327"/>
      <c r="B108" s="327"/>
      <c r="C108" s="327"/>
      <c r="D108" s="328" t="s">
        <v>500</v>
      </c>
      <c r="E108" s="211">
        <v>1919.181</v>
      </c>
    </row>
    <row r="109" spans="1:5" ht="31.5" x14ac:dyDescent="0.25">
      <c r="A109" s="327"/>
      <c r="B109" s="327" t="s">
        <v>498</v>
      </c>
      <c r="C109" s="327" t="s">
        <v>496</v>
      </c>
      <c r="D109" s="329" t="s">
        <v>504</v>
      </c>
      <c r="E109" s="203"/>
    </row>
    <row r="110" spans="1:5" x14ac:dyDescent="0.25">
      <c r="A110" s="327"/>
      <c r="B110" s="327"/>
      <c r="C110" s="327"/>
      <c r="D110" s="328" t="s">
        <v>500</v>
      </c>
      <c r="E110" s="203"/>
    </row>
    <row r="111" spans="1:5" ht="31.5" x14ac:dyDescent="0.25">
      <c r="A111" s="327"/>
      <c r="B111" s="327"/>
      <c r="C111" s="327" t="s">
        <v>491</v>
      </c>
      <c r="D111" s="329" t="s">
        <v>504</v>
      </c>
      <c r="E111" s="211">
        <v>935.67</v>
      </c>
    </row>
    <row r="112" spans="1:5" x14ac:dyDescent="0.25">
      <c r="A112" s="327"/>
      <c r="B112" s="327"/>
      <c r="C112" s="327"/>
      <c r="D112" s="328" t="s">
        <v>500</v>
      </c>
      <c r="E112" s="211">
        <v>2457.4229999999998</v>
      </c>
    </row>
    <row r="113" spans="1:5" x14ac:dyDescent="0.25">
      <c r="A113" s="327"/>
      <c r="B113" s="330" t="s">
        <v>505</v>
      </c>
      <c r="C113" s="327" t="s">
        <v>496</v>
      </c>
      <c r="D113" s="328" t="s">
        <v>502</v>
      </c>
      <c r="E113" s="203"/>
    </row>
    <row r="114" spans="1:5" x14ac:dyDescent="0.25">
      <c r="A114" s="327"/>
      <c r="B114" s="330"/>
      <c r="C114" s="327"/>
      <c r="D114" s="328" t="s">
        <v>500</v>
      </c>
      <c r="E114" s="203"/>
    </row>
    <row r="115" spans="1:5" x14ac:dyDescent="0.25">
      <c r="A115" s="327"/>
      <c r="B115" s="330"/>
      <c r="C115" s="327" t="s">
        <v>491</v>
      </c>
      <c r="D115" s="328" t="s">
        <v>502</v>
      </c>
      <c r="E115" s="203">
        <v>1193.07</v>
      </c>
    </row>
    <row r="116" spans="1:5" x14ac:dyDescent="0.25">
      <c r="A116" s="327"/>
      <c r="B116" s="330"/>
      <c r="C116" s="327"/>
      <c r="D116" s="328" t="s">
        <v>500</v>
      </c>
      <c r="E116" s="211">
        <v>176.053</v>
      </c>
    </row>
    <row r="117" spans="1:5" x14ac:dyDescent="0.25">
      <c r="A117" s="327"/>
      <c r="B117" s="327" t="s">
        <v>501</v>
      </c>
      <c r="C117" s="327" t="s">
        <v>496</v>
      </c>
      <c r="D117" s="328" t="s">
        <v>502</v>
      </c>
      <c r="E117" s="203"/>
    </row>
    <row r="118" spans="1:5" x14ac:dyDescent="0.25">
      <c r="A118" s="327"/>
      <c r="B118" s="327"/>
      <c r="C118" s="327"/>
      <c r="D118" s="328" t="s">
        <v>500</v>
      </c>
      <c r="E118" s="203"/>
    </row>
    <row r="119" spans="1:5" x14ac:dyDescent="0.25">
      <c r="A119" s="327"/>
      <c r="B119" s="327"/>
      <c r="C119" s="327" t="s">
        <v>491</v>
      </c>
      <c r="D119" s="328" t="s">
        <v>502</v>
      </c>
      <c r="E119" s="203">
        <v>1193.7</v>
      </c>
    </row>
    <row r="120" spans="1:5" x14ac:dyDescent="0.25">
      <c r="A120" s="327"/>
      <c r="B120" s="327"/>
      <c r="C120" s="327"/>
      <c r="D120" s="328" t="s">
        <v>500</v>
      </c>
      <c r="E120" s="211">
        <v>79.364999999999995</v>
      </c>
    </row>
    <row r="121" spans="1:5" x14ac:dyDescent="0.25">
      <c r="A121" s="327" t="s">
        <v>503</v>
      </c>
      <c r="B121" s="327" t="s">
        <v>490</v>
      </c>
      <c r="C121" s="327" t="s">
        <v>502</v>
      </c>
      <c r="D121" s="327"/>
      <c r="E121" s="203"/>
    </row>
    <row r="122" spans="1:5" x14ac:dyDescent="0.25">
      <c r="A122" s="327"/>
      <c r="B122" s="327"/>
      <c r="C122" s="327" t="s">
        <v>500</v>
      </c>
      <c r="D122" s="327"/>
      <c r="E122" s="203"/>
    </row>
    <row r="123" spans="1:5" x14ac:dyDescent="0.25">
      <c r="A123" s="327"/>
      <c r="B123" s="327" t="s">
        <v>491</v>
      </c>
      <c r="C123" s="327" t="s">
        <v>502</v>
      </c>
      <c r="D123" s="327"/>
      <c r="E123" s="203">
        <v>117.19</v>
      </c>
    </row>
    <row r="124" spans="1:5" x14ac:dyDescent="0.25">
      <c r="A124" s="327"/>
      <c r="B124" s="327"/>
      <c r="C124" s="327" t="s">
        <v>500</v>
      </c>
      <c r="D124" s="327"/>
      <c r="E124" s="211">
        <v>93.75</v>
      </c>
    </row>
    <row r="125" spans="1:5" ht="33.75" x14ac:dyDescent="0.25">
      <c r="A125" s="46" t="s">
        <v>151</v>
      </c>
      <c r="B125" s="176"/>
      <c r="C125" s="176"/>
      <c r="D125" s="176"/>
      <c r="E125" s="203">
        <v>6</v>
      </c>
    </row>
    <row r="126" spans="1:5" x14ac:dyDescent="0.25">
      <c r="A126" s="325" t="s">
        <v>507</v>
      </c>
      <c r="B126" s="325"/>
      <c r="C126" s="325"/>
      <c r="D126" s="326" t="s">
        <v>490</v>
      </c>
      <c r="E126" s="47"/>
    </row>
    <row r="127" spans="1:5" x14ac:dyDescent="0.25">
      <c r="A127" s="325"/>
      <c r="B127" s="325"/>
      <c r="C127" s="325"/>
      <c r="D127" s="326" t="s">
        <v>491</v>
      </c>
      <c r="E127" s="47"/>
    </row>
    <row r="128" spans="1:5" x14ac:dyDescent="0.25">
      <c r="A128" s="327" t="s">
        <v>497</v>
      </c>
      <c r="B128" s="325" t="s">
        <v>506</v>
      </c>
      <c r="C128" s="325"/>
      <c r="D128" s="326" t="s">
        <v>490</v>
      </c>
      <c r="E128" s="47"/>
    </row>
    <row r="129" spans="1:5" x14ac:dyDescent="0.25">
      <c r="A129" s="327"/>
      <c r="B129" s="325"/>
      <c r="C129" s="325"/>
      <c r="D129" s="326" t="s">
        <v>491</v>
      </c>
      <c r="E129" s="47"/>
    </row>
    <row r="130" spans="1:5" x14ac:dyDescent="0.25">
      <c r="A130" s="327"/>
      <c r="B130" s="327" t="s">
        <v>495</v>
      </c>
      <c r="C130" s="327" t="s">
        <v>496</v>
      </c>
      <c r="D130" s="328" t="s">
        <v>499</v>
      </c>
      <c r="E130" s="47"/>
    </row>
    <row r="131" spans="1:5" x14ac:dyDescent="0.25">
      <c r="A131" s="327"/>
      <c r="B131" s="327"/>
      <c r="C131" s="327"/>
      <c r="D131" s="328" t="s">
        <v>500</v>
      </c>
      <c r="E131" s="47"/>
    </row>
    <row r="132" spans="1:5" x14ac:dyDescent="0.25">
      <c r="A132" s="327"/>
      <c r="B132" s="327"/>
      <c r="C132" s="327" t="s">
        <v>491</v>
      </c>
      <c r="D132" s="328" t="s">
        <v>499</v>
      </c>
      <c r="E132" s="47"/>
    </row>
    <row r="133" spans="1:5" x14ac:dyDescent="0.25">
      <c r="A133" s="327"/>
      <c r="B133" s="327"/>
      <c r="C133" s="327"/>
      <c r="D133" s="328" t="s">
        <v>500</v>
      </c>
      <c r="E133" s="47"/>
    </row>
    <row r="134" spans="1:5" ht="31.5" x14ac:dyDescent="0.25">
      <c r="A134" s="327"/>
      <c r="B134" s="327" t="s">
        <v>498</v>
      </c>
      <c r="C134" s="327" t="s">
        <v>496</v>
      </c>
      <c r="D134" s="329" t="s">
        <v>504</v>
      </c>
      <c r="E134" s="47"/>
    </row>
    <row r="135" spans="1:5" x14ac:dyDescent="0.25">
      <c r="A135" s="327"/>
      <c r="B135" s="327"/>
      <c r="C135" s="327"/>
      <c r="D135" s="328" t="s">
        <v>500</v>
      </c>
      <c r="E135" s="47"/>
    </row>
    <row r="136" spans="1:5" ht="31.5" x14ac:dyDescent="0.25">
      <c r="A136" s="327"/>
      <c r="B136" s="327"/>
      <c r="C136" s="327" t="s">
        <v>491</v>
      </c>
      <c r="D136" s="329" t="s">
        <v>504</v>
      </c>
      <c r="E136" s="47"/>
    </row>
    <row r="137" spans="1:5" x14ac:dyDescent="0.25">
      <c r="A137" s="327"/>
      <c r="B137" s="327"/>
      <c r="C137" s="327"/>
      <c r="D137" s="328" t="s">
        <v>500</v>
      </c>
      <c r="E137" s="47"/>
    </row>
    <row r="138" spans="1:5" x14ac:dyDescent="0.25">
      <c r="A138" s="327"/>
      <c r="B138" s="330" t="s">
        <v>505</v>
      </c>
      <c r="C138" s="327" t="s">
        <v>496</v>
      </c>
      <c r="D138" s="328" t="s">
        <v>502</v>
      </c>
      <c r="E138" s="47"/>
    </row>
    <row r="139" spans="1:5" x14ac:dyDescent="0.25">
      <c r="A139" s="327"/>
      <c r="B139" s="330"/>
      <c r="C139" s="327"/>
      <c r="D139" s="328" t="s">
        <v>500</v>
      </c>
      <c r="E139" s="47"/>
    </row>
    <row r="140" spans="1:5" x14ac:dyDescent="0.25">
      <c r="A140" s="327"/>
      <c r="B140" s="330"/>
      <c r="C140" s="327" t="s">
        <v>491</v>
      </c>
      <c r="D140" s="328" t="s">
        <v>502</v>
      </c>
      <c r="E140" s="47"/>
    </row>
    <row r="141" spans="1:5" x14ac:dyDescent="0.25">
      <c r="A141" s="327"/>
      <c r="B141" s="330"/>
      <c r="C141" s="327"/>
      <c r="D141" s="328" t="s">
        <v>500</v>
      </c>
      <c r="E141" s="47"/>
    </row>
    <row r="142" spans="1:5" x14ac:dyDescent="0.25">
      <c r="A142" s="327"/>
      <c r="B142" s="327" t="s">
        <v>501</v>
      </c>
      <c r="C142" s="327" t="s">
        <v>496</v>
      </c>
      <c r="D142" s="328" t="s">
        <v>502</v>
      </c>
      <c r="E142" s="47"/>
    </row>
    <row r="143" spans="1:5" x14ac:dyDescent="0.25">
      <c r="A143" s="327"/>
      <c r="B143" s="327"/>
      <c r="C143" s="327"/>
      <c r="D143" s="328" t="s">
        <v>500</v>
      </c>
      <c r="E143" s="47"/>
    </row>
    <row r="144" spans="1:5" x14ac:dyDescent="0.25">
      <c r="A144" s="327"/>
      <c r="B144" s="327"/>
      <c r="C144" s="327" t="s">
        <v>491</v>
      </c>
      <c r="D144" s="328" t="s">
        <v>502</v>
      </c>
      <c r="E144" s="47"/>
    </row>
    <row r="145" spans="1:5" x14ac:dyDescent="0.25">
      <c r="A145" s="327"/>
      <c r="B145" s="327"/>
      <c r="C145" s="327"/>
      <c r="D145" s="328" t="s">
        <v>500</v>
      </c>
      <c r="E145" s="47"/>
    </row>
    <row r="146" spans="1:5" x14ac:dyDescent="0.25">
      <c r="A146" s="327" t="s">
        <v>503</v>
      </c>
      <c r="B146" s="327" t="s">
        <v>490</v>
      </c>
      <c r="C146" s="327" t="s">
        <v>502</v>
      </c>
      <c r="D146" s="327"/>
      <c r="E146" s="47"/>
    </row>
    <row r="147" spans="1:5" x14ac:dyDescent="0.25">
      <c r="A147" s="327"/>
      <c r="B147" s="327"/>
      <c r="C147" s="327" t="s">
        <v>500</v>
      </c>
      <c r="D147" s="327"/>
      <c r="E147" s="47"/>
    </row>
    <row r="148" spans="1:5" x14ac:dyDescent="0.25">
      <c r="A148" s="327"/>
      <c r="B148" s="327" t="s">
        <v>491</v>
      </c>
      <c r="C148" s="327" t="s">
        <v>502</v>
      </c>
      <c r="D148" s="327"/>
      <c r="E148" s="47"/>
    </row>
    <row r="149" spans="1:5" x14ac:dyDescent="0.25">
      <c r="A149" s="327"/>
      <c r="B149" s="327"/>
      <c r="C149" s="327" t="s">
        <v>500</v>
      </c>
      <c r="D149" s="327"/>
      <c r="E149" s="47"/>
    </row>
    <row r="150" spans="1:5" x14ac:dyDescent="0.25">
      <c r="A150" s="46" t="s">
        <v>152</v>
      </c>
      <c r="B150" s="176"/>
      <c r="C150" s="176"/>
      <c r="D150" s="176"/>
      <c r="E150" s="203">
        <v>2</v>
      </c>
    </row>
    <row r="151" spans="1:5" x14ac:dyDescent="0.25">
      <c r="A151" s="46" t="s">
        <v>153</v>
      </c>
      <c r="B151" s="176"/>
      <c r="C151" s="176"/>
      <c r="D151" s="176"/>
      <c r="E151" s="203">
        <v>2</v>
      </c>
    </row>
    <row r="152" spans="1:5" x14ac:dyDescent="0.25">
      <c r="A152" s="48" t="s">
        <v>154</v>
      </c>
      <c r="B152" s="176"/>
      <c r="C152" s="176"/>
      <c r="D152" s="176"/>
      <c r="E152" s="203">
        <v>264435</v>
      </c>
    </row>
  </sheetData>
  <mergeCells count="121">
    <mergeCell ref="A1:B1"/>
    <mergeCell ref="A4:D4"/>
    <mergeCell ref="A63:A66"/>
    <mergeCell ref="B63:B64"/>
    <mergeCell ref="A35:A38"/>
    <mergeCell ref="B35:B36"/>
    <mergeCell ref="C35:D35"/>
    <mergeCell ref="C36:D36"/>
    <mergeCell ref="B37:B38"/>
    <mergeCell ref="C37:D37"/>
    <mergeCell ref="C38:D38"/>
    <mergeCell ref="B51:B54"/>
    <mergeCell ref="C51:C52"/>
    <mergeCell ref="C53:C54"/>
    <mergeCell ref="C55:C56"/>
    <mergeCell ref="C64:D64"/>
    <mergeCell ref="B65:B66"/>
    <mergeCell ref="C65:D65"/>
    <mergeCell ref="C66:D66"/>
    <mergeCell ref="B55:B58"/>
    <mergeCell ref="C57:C58"/>
    <mergeCell ref="B59:B62"/>
    <mergeCell ref="C59:C60"/>
    <mergeCell ref="C61:C62"/>
    <mergeCell ref="C63:D63"/>
    <mergeCell ref="A72:C73"/>
    <mergeCell ref="A74:A91"/>
    <mergeCell ref="B74:C75"/>
    <mergeCell ref="B76:B79"/>
    <mergeCell ref="C76:C77"/>
    <mergeCell ref="C78:C79"/>
    <mergeCell ref="B80:B83"/>
    <mergeCell ref="C80:C81"/>
    <mergeCell ref="C82:C83"/>
    <mergeCell ref="A15:C16"/>
    <mergeCell ref="A43:C44"/>
    <mergeCell ref="B45:C46"/>
    <mergeCell ref="A45:A62"/>
    <mergeCell ref="B47:B50"/>
    <mergeCell ref="C47:C48"/>
    <mergeCell ref="C49:C50"/>
    <mergeCell ref="A12:B13"/>
    <mergeCell ref="C12:D12"/>
    <mergeCell ref="C13:D13"/>
    <mergeCell ref="A17:A34"/>
    <mergeCell ref="B19:B22"/>
    <mergeCell ref="C19:C20"/>
    <mergeCell ref="C21:C22"/>
    <mergeCell ref="B23:B26"/>
    <mergeCell ref="C23:C24"/>
    <mergeCell ref="C25:C26"/>
    <mergeCell ref="B27:B30"/>
    <mergeCell ref="C27:C28"/>
    <mergeCell ref="C29:C30"/>
    <mergeCell ref="B31:B34"/>
    <mergeCell ref="C31:C32"/>
    <mergeCell ref="C33:C34"/>
    <mergeCell ref="B17:C18"/>
    <mergeCell ref="A92:A95"/>
    <mergeCell ref="B92:B93"/>
    <mergeCell ref="C92:D92"/>
    <mergeCell ref="C93:D93"/>
    <mergeCell ref="B94:B95"/>
    <mergeCell ref="C94:D94"/>
    <mergeCell ref="C95:D95"/>
    <mergeCell ref="B84:B87"/>
    <mergeCell ref="C84:C85"/>
    <mergeCell ref="C86:C87"/>
    <mergeCell ref="B88:B91"/>
    <mergeCell ref="C88:C89"/>
    <mergeCell ref="C90:C91"/>
    <mergeCell ref="A101:C102"/>
    <mergeCell ref="A103:A120"/>
    <mergeCell ref="B103:C104"/>
    <mergeCell ref="B105:B108"/>
    <mergeCell ref="C105:C106"/>
    <mergeCell ref="C107:C108"/>
    <mergeCell ref="B109:B112"/>
    <mergeCell ref="C109:C110"/>
    <mergeCell ref="C111:C112"/>
    <mergeCell ref="B113:B116"/>
    <mergeCell ref="C113:C114"/>
    <mergeCell ref="C115:C116"/>
    <mergeCell ref="B117:B120"/>
    <mergeCell ref="C117:C118"/>
    <mergeCell ref="C119:C120"/>
    <mergeCell ref="C140:C141"/>
    <mergeCell ref="B142:B145"/>
    <mergeCell ref="C142:C143"/>
    <mergeCell ref="C144:C145"/>
    <mergeCell ref="A121:A124"/>
    <mergeCell ref="B121:B122"/>
    <mergeCell ref="C121:D121"/>
    <mergeCell ref="C122:D122"/>
    <mergeCell ref="B123:B124"/>
    <mergeCell ref="C123:D123"/>
    <mergeCell ref="C124:D124"/>
    <mergeCell ref="A8:B9"/>
    <mergeCell ref="A10:B11"/>
    <mergeCell ref="C8:D8"/>
    <mergeCell ref="C9:D9"/>
    <mergeCell ref="C10:D10"/>
    <mergeCell ref="C11:D11"/>
    <mergeCell ref="A146:A149"/>
    <mergeCell ref="B146:B147"/>
    <mergeCell ref="C146:D146"/>
    <mergeCell ref="C147:D147"/>
    <mergeCell ref="B148:B149"/>
    <mergeCell ref="C148:D148"/>
    <mergeCell ref="C149:D149"/>
    <mergeCell ref="A126:C127"/>
    <mergeCell ref="A128:A145"/>
    <mergeCell ref="B128:C129"/>
    <mergeCell ref="B130:B133"/>
    <mergeCell ref="C130:C131"/>
    <mergeCell ref="C132:C133"/>
    <mergeCell ref="B134:B137"/>
    <mergeCell ref="C134:C135"/>
    <mergeCell ref="C136:C137"/>
    <mergeCell ref="B138:B141"/>
    <mergeCell ref="C138:C139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00B0F0"/>
  </sheetPr>
  <dimension ref="A1:AE8"/>
  <sheetViews>
    <sheetView workbookViewId="0">
      <selection activeCell="I17" sqref="I17"/>
    </sheetView>
  </sheetViews>
  <sheetFormatPr defaultRowHeight="15" x14ac:dyDescent="0.25"/>
  <cols>
    <col min="1" max="1" width="11.28515625" customWidth="1"/>
    <col min="8" max="10" width="10.140625" customWidth="1"/>
    <col min="11" max="11" width="10.28515625" customWidth="1"/>
    <col min="16" max="16" width="13.42578125" customWidth="1"/>
    <col min="17" max="17" width="10.7109375" customWidth="1"/>
    <col min="18" max="18" width="13.28515625" customWidth="1"/>
    <col min="19" max="19" width="10.7109375" customWidth="1"/>
  </cols>
  <sheetData>
    <row r="1" spans="1:31" ht="18" customHeight="1" x14ac:dyDescent="0.25">
      <c r="A1" s="254" t="s">
        <v>158</v>
      </c>
      <c r="B1" s="254"/>
      <c r="C1" s="254"/>
      <c r="D1" s="254"/>
      <c r="E1" s="254"/>
      <c r="F1" s="254"/>
      <c r="G1" s="254"/>
    </row>
    <row r="2" spans="1:31" x14ac:dyDescent="0.25">
      <c r="A2" s="15"/>
      <c r="B2" s="253" t="s">
        <v>896</v>
      </c>
      <c r="C2" s="253"/>
      <c r="D2" s="253"/>
      <c r="E2" s="253"/>
      <c r="F2" s="253"/>
      <c r="G2" s="15"/>
    </row>
    <row r="3" spans="1:31" x14ac:dyDescent="0.25">
      <c r="A3" s="18"/>
      <c r="B3" s="262" t="s">
        <v>587</v>
      </c>
      <c r="C3" s="262"/>
      <c r="D3" s="262"/>
      <c r="E3" s="262"/>
      <c r="F3" s="262"/>
      <c r="G3" s="20"/>
    </row>
    <row r="4" spans="1:31" ht="26.25" customHeight="1" x14ac:dyDescent="0.25">
      <c r="A4" s="283" t="s">
        <v>109</v>
      </c>
      <c r="B4" s="283" t="s">
        <v>155</v>
      </c>
      <c r="C4" s="283" t="s">
        <v>156</v>
      </c>
      <c r="D4" s="282" t="s">
        <v>100</v>
      </c>
      <c r="E4" s="282"/>
      <c r="F4" s="282" t="s">
        <v>157</v>
      </c>
      <c r="G4" s="282"/>
      <c r="H4" s="305" t="s">
        <v>507</v>
      </c>
      <c r="I4" s="306"/>
      <c r="J4" s="307" t="s">
        <v>497</v>
      </c>
      <c r="K4" s="308"/>
      <c r="L4" s="308"/>
      <c r="M4" s="308"/>
      <c r="N4" s="308"/>
      <c r="O4" s="308"/>
      <c r="P4" s="308"/>
      <c r="Q4" s="308"/>
      <c r="R4" s="308"/>
      <c r="S4" s="308"/>
      <c r="T4" s="308"/>
      <c r="U4" s="308"/>
      <c r="V4" s="308"/>
      <c r="W4" s="308"/>
      <c r="X4" s="308"/>
      <c r="Y4" s="308"/>
      <c r="Z4" s="308"/>
      <c r="AA4" s="309"/>
      <c r="AB4" s="307" t="s">
        <v>503</v>
      </c>
      <c r="AC4" s="308"/>
      <c r="AD4" s="308"/>
      <c r="AE4" s="309"/>
    </row>
    <row r="5" spans="1:31" ht="15" customHeight="1" x14ac:dyDescent="0.25">
      <c r="A5" s="283"/>
      <c r="B5" s="283"/>
      <c r="C5" s="283"/>
      <c r="D5" s="302" t="s">
        <v>102</v>
      </c>
      <c r="E5" s="302" t="s">
        <v>103</v>
      </c>
      <c r="F5" s="302" t="s">
        <v>102</v>
      </c>
      <c r="G5" s="302" t="s">
        <v>103</v>
      </c>
      <c r="H5" s="310"/>
      <c r="I5" s="311"/>
      <c r="J5" s="305" t="s">
        <v>506</v>
      </c>
      <c r="K5" s="306"/>
      <c r="L5" s="307" t="s">
        <v>495</v>
      </c>
      <c r="M5" s="308"/>
      <c r="N5" s="308"/>
      <c r="O5" s="309"/>
      <c r="P5" s="307" t="s">
        <v>498</v>
      </c>
      <c r="Q5" s="308"/>
      <c r="R5" s="308"/>
      <c r="S5" s="309"/>
      <c r="T5" s="307" t="s">
        <v>505</v>
      </c>
      <c r="U5" s="308"/>
      <c r="V5" s="308"/>
      <c r="W5" s="309"/>
      <c r="X5" s="307" t="s">
        <v>501</v>
      </c>
      <c r="Y5" s="308"/>
      <c r="Z5" s="308"/>
      <c r="AA5" s="309"/>
      <c r="AB5" s="307" t="s">
        <v>490</v>
      </c>
      <c r="AC5" s="309"/>
      <c r="AD5" s="307" t="s">
        <v>491</v>
      </c>
      <c r="AE5" s="309"/>
    </row>
    <row r="6" spans="1:31" ht="15" customHeight="1" x14ac:dyDescent="0.25">
      <c r="A6" s="283"/>
      <c r="B6" s="283"/>
      <c r="C6" s="283"/>
      <c r="D6" s="283"/>
      <c r="E6" s="283"/>
      <c r="F6" s="283"/>
      <c r="G6" s="283"/>
      <c r="H6" s="286"/>
      <c r="I6" s="288"/>
      <c r="J6" s="310"/>
      <c r="K6" s="311"/>
      <c r="L6" s="307" t="s">
        <v>496</v>
      </c>
      <c r="M6" s="309"/>
      <c r="N6" s="307" t="s">
        <v>491</v>
      </c>
      <c r="O6" s="309"/>
      <c r="P6" s="307" t="s">
        <v>496</v>
      </c>
      <c r="Q6" s="309"/>
      <c r="R6" s="307" t="s">
        <v>491</v>
      </c>
      <c r="S6" s="309"/>
      <c r="T6" s="307" t="s">
        <v>496</v>
      </c>
      <c r="U6" s="309"/>
      <c r="V6" s="307" t="s">
        <v>491</v>
      </c>
      <c r="W6" s="309"/>
      <c r="X6" s="307" t="s">
        <v>496</v>
      </c>
      <c r="Y6" s="309"/>
      <c r="Z6" s="307" t="s">
        <v>491</v>
      </c>
      <c r="AA6" s="309"/>
      <c r="AB6" s="312" t="s">
        <v>502</v>
      </c>
      <c r="AC6" s="313" t="s">
        <v>500</v>
      </c>
      <c r="AD6" s="312" t="s">
        <v>502</v>
      </c>
      <c r="AE6" s="313" t="s">
        <v>500</v>
      </c>
    </row>
    <row r="7" spans="1:31" ht="52.5" x14ac:dyDescent="0.25">
      <c r="A7" s="283"/>
      <c r="B7" s="283"/>
      <c r="C7" s="283"/>
      <c r="D7" s="283"/>
      <c r="E7" s="283"/>
      <c r="F7" s="283"/>
      <c r="G7" s="283"/>
      <c r="H7" s="285" t="s">
        <v>490</v>
      </c>
      <c r="I7" s="285" t="s">
        <v>491</v>
      </c>
      <c r="J7" s="285" t="s">
        <v>490</v>
      </c>
      <c r="K7" s="285" t="s">
        <v>491</v>
      </c>
      <c r="L7" s="314" t="s">
        <v>499</v>
      </c>
      <c r="M7" s="315" t="s">
        <v>500</v>
      </c>
      <c r="N7" s="314" t="s">
        <v>499</v>
      </c>
      <c r="O7" s="315" t="s">
        <v>500</v>
      </c>
      <c r="P7" s="316" t="s">
        <v>504</v>
      </c>
      <c r="Q7" s="315" t="s">
        <v>500</v>
      </c>
      <c r="R7" s="316" t="s">
        <v>504</v>
      </c>
      <c r="S7" s="315" t="s">
        <v>500</v>
      </c>
      <c r="T7" s="314" t="s">
        <v>502</v>
      </c>
      <c r="U7" s="315" t="s">
        <v>500</v>
      </c>
      <c r="V7" s="314" t="s">
        <v>502</v>
      </c>
      <c r="W7" s="315" t="s">
        <v>500</v>
      </c>
      <c r="X7" s="314" t="s">
        <v>502</v>
      </c>
      <c r="Y7" s="315" t="s">
        <v>500</v>
      </c>
      <c r="Z7" s="314" t="s">
        <v>502</v>
      </c>
      <c r="AA7" s="315" t="s">
        <v>500</v>
      </c>
      <c r="AB7" s="317"/>
      <c r="AC7" s="318"/>
      <c r="AD7" s="317"/>
      <c r="AE7" s="318"/>
    </row>
    <row r="8" spans="1:31" ht="33.75" x14ac:dyDescent="0.25">
      <c r="A8" s="212" t="s">
        <v>719</v>
      </c>
      <c r="B8" s="213" t="s">
        <v>720</v>
      </c>
      <c r="C8" s="214">
        <v>770</v>
      </c>
      <c r="D8" s="215">
        <v>145.94999999999999</v>
      </c>
      <c r="E8" s="214">
        <v>83</v>
      </c>
      <c r="F8" s="215">
        <v>100.83</v>
      </c>
      <c r="G8" s="214">
        <v>49</v>
      </c>
      <c r="H8" s="215">
        <v>2004313.61</v>
      </c>
      <c r="I8" s="215">
        <v>1680251.13</v>
      </c>
      <c r="J8" s="215">
        <v>1965410.7</v>
      </c>
      <c r="K8" s="215">
        <v>1641348.22</v>
      </c>
      <c r="L8" s="215">
        <v>81226.3</v>
      </c>
      <c r="M8" s="215">
        <v>377702.3</v>
      </c>
      <c r="N8" s="215">
        <v>79172</v>
      </c>
      <c r="O8" s="215">
        <v>368149.36</v>
      </c>
      <c r="P8" s="215">
        <v>435.41</v>
      </c>
      <c r="Q8" s="215">
        <v>1373192.6</v>
      </c>
      <c r="R8" s="215">
        <v>361.05</v>
      </c>
      <c r="S8" s="215">
        <v>1137196.33</v>
      </c>
      <c r="T8" s="215">
        <v>767.81</v>
      </c>
      <c r="U8" s="215">
        <v>153586.62</v>
      </c>
      <c r="V8" s="215">
        <v>461.5</v>
      </c>
      <c r="W8" s="215">
        <v>99327.22</v>
      </c>
      <c r="X8" s="215">
        <v>767.84</v>
      </c>
      <c r="Y8" s="215">
        <v>60929.18</v>
      </c>
      <c r="Z8" s="215">
        <v>461.5</v>
      </c>
      <c r="AA8" s="215">
        <v>36675.31</v>
      </c>
      <c r="AB8" s="215">
        <v>792.32</v>
      </c>
      <c r="AC8" s="215">
        <v>38902.910000000003</v>
      </c>
      <c r="AD8" s="215">
        <v>792.32</v>
      </c>
      <c r="AE8" s="215">
        <v>38902.910000000003</v>
      </c>
    </row>
  </sheetData>
  <mergeCells count="34">
    <mergeCell ref="A1:G1"/>
    <mergeCell ref="B2:F2"/>
    <mergeCell ref="B3:F3"/>
    <mergeCell ref="D4:E4"/>
    <mergeCell ref="F4:G4"/>
    <mergeCell ref="A4:A7"/>
    <mergeCell ref="B4:B7"/>
    <mergeCell ref="C4:C7"/>
    <mergeCell ref="D5:D7"/>
    <mergeCell ref="E5:E7"/>
    <mergeCell ref="AD6:AD7"/>
    <mergeCell ref="AE6:AE7"/>
    <mergeCell ref="J4:AA4"/>
    <mergeCell ref="AB4:AE4"/>
    <mergeCell ref="L5:O5"/>
    <mergeCell ref="P5:S5"/>
    <mergeCell ref="T5:W5"/>
    <mergeCell ref="X5:AA5"/>
    <mergeCell ref="AB5:AC5"/>
    <mergeCell ref="AD5:AE5"/>
    <mergeCell ref="L6:M6"/>
    <mergeCell ref="N6:O6"/>
    <mergeCell ref="P6:Q6"/>
    <mergeCell ref="R6:S6"/>
    <mergeCell ref="AB6:AB7"/>
    <mergeCell ref="AC6:AC7"/>
    <mergeCell ref="Z6:AA6"/>
    <mergeCell ref="X6:Y6"/>
    <mergeCell ref="F5:F7"/>
    <mergeCell ref="G5:G7"/>
    <mergeCell ref="J5:K6"/>
    <mergeCell ref="H4:I6"/>
    <mergeCell ref="T6:U6"/>
    <mergeCell ref="V6:W6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00B0F0"/>
  </sheetPr>
  <dimension ref="A1:AM12"/>
  <sheetViews>
    <sheetView zoomScale="85" zoomScaleNormal="85" workbookViewId="0">
      <selection activeCell="Q22" sqref="Q22"/>
    </sheetView>
  </sheetViews>
  <sheetFormatPr defaultRowHeight="15" x14ac:dyDescent="0.25"/>
  <cols>
    <col min="1" max="2" width="15.140625" customWidth="1"/>
    <col min="3" max="15" width="9.28515625" bestFit="1" customWidth="1"/>
    <col min="16" max="18" width="10.7109375" customWidth="1"/>
    <col min="19" max="19" width="12.85546875" customWidth="1"/>
    <col min="20" max="20" width="9.28515625" bestFit="1" customWidth="1"/>
    <col min="21" max="21" width="9.7109375" bestFit="1" customWidth="1"/>
    <col min="22" max="22" width="9.28515625" bestFit="1" customWidth="1"/>
    <col min="23" max="23" width="9.7109375" bestFit="1" customWidth="1"/>
    <col min="24" max="24" width="9.28515625" bestFit="1" customWidth="1"/>
    <col min="25" max="25" width="10.28515625" bestFit="1" customWidth="1"/>
    <col min="26" max="26" width="9.28515625" bestFit="1" customWidth="1"/>
    <col min="27" max="27" width="10.28515625" bestFit="1" customWidth="1"/>
    <col min="28" max="39" width="9.28515625" bestFit="1" customWidth="1"/>
  </cols>
  <sheetData>
    <row r="1" spans="1:39" ht="18" customHeight="1" x14ac:dyDescent="0.25">
      <c r="A1" s="267"/>
      <c r="B1" s="267"/>
      <c r="C1" s="267"/>
      <c r="D1" s="267"/>
      <c r="E1" s="267"/>
      <c r="F1" s="267"/>
      <c r="G1" s="267"/>
      <c r="H1" s="267"/>
      <c r="I1" s="267"/>
      <c r="J1" s="267"/>
      <c r="K1" s="267"/>
      <c r="L1" s="267"/>
      <c r="M1" s="267"/>
      <c r="N1" s="267"/>
      <c r="O1" s="267"/>
      <c r="P1" s="65" t="s">
        <v>522</v>
      </c>
      <c r="Q1" s="64"/>
      <c r="R1" s="64"/>
      <c r="S1" s="64"/>
      <c r="T1" s="64"/>
      <c r="U1" s="64"/>
      <c r="V1" s="64"/>
      <c r="W1" s="64"/>
      <c r="X1" s="64"/>
      <c r="Y1" s="64"/>
    </row>
    <row r="2" spans="1:39" x14ac:dyDescent="0.25">
      <c r="A2" s="15"/>
      <c r="B2" s="253" t="s">
        <v>896</v>
      </c>
      <c r="C2" s="253"/>
      <c r="D2" s="253"/>
      <c r="E2" s="253"/>
      <c r="F2" s="253"/>
      <c r="G2" s="253"/>
      <c r="H2" s="253"/>
      <c r="I2" s="253"/>
      <c r="J2" s="253"/>
      <c r="K2" s="253"/>
      <c r="L2" s="253"/>
      <c r="M2" s="49"/>
      <c r="N2" s="49"/>
      <c r="O2" s="49"/>
    </row>
    <row r="3" spans="1:39" x14ac:dyDescent="0.25">
      <c r="A3" s="18"/>
      <c r="B3" s="262" t="s">
        <v>587</v>
      </c>
      <c r="C3" s="262"/>
      <c r="D3" s="262"/>
      <c r="E3" s="262"/>
      <c r="F3" s="262"/>
      <c r="G3" s="262"/>
      <c r="H3" s="262"/>
      <c r="I3" s="262"/>
      <c r="J3" s="262"/>
      <c r="K3" s="262"/>
      <c r="L3" s="262"/>
      <c r="M3" s="50"/>
      <c r="N3" s="50"/>
      <c r="O3" s="50"/>
    </row>
    <row r="4" spans="1:39" ht="24" customHeight="1" x14ac:dyDescent="0.25">
      <c r="A4" s="283" t="s">
        <v>159</v>
      </c>
      <c r="B4" s="283" t="s">
        <v>118</v>
      </c>
      <c r="C4" s="283" t="s">
        <v>136</v>
      </c>
      <c r="D4" s="282" t="s">
        <v>100</v>
      </c>
      <c r="E4" s="282"/>
      <c r="F4" s="303" t="s">
        <v>101</v>
      </c>
      <c r="G4" s="331"/>
      <c r="H4" s="331"/>
      <c r="I4" s="331"/>
      <c r="J4" s="331"/>
      <c r="K4" s="304"/>
      <c r="L4" s="332" t="s">
        <v>526</v>
      </c>
      <c r="M4" s="333"/>
      <c r="N4" s="332" t="s">
        <v>527</v>
      </c>
      <c r="O4" s="333"/>
      <c r="P4" s="305" t="s">
        <v>507</v>
      </c>
      <c r="Q4" s="306"/>
      <c r="R4" s="307" t="s">
        <v>497</v>
      </c>
      <c r="S4" s="308"/>
      <c r="T4" s="308"/>
      <c r="U4" s="308"/>
      <c r="V4" s="308"/>
      <c r="W4" s="308"/>
      <c r="X4" s="308"/>
      <c r="Y4" s="308"/>
      <c r="Z4" s="308"/>
      <c r="AA4" s="308"/>
      <c r="AB4" s="308"/>
      <c r="AC4" s="308"/>
      <c r="AD4" s="308"/>
      <c r="AE4" s="308"/>
      <c r="AF4" s="308"/>
      <c r="AG4" s="308"/>
      <c r="AH4" s="308"/>
      <c r="AI4" s="309"/>
      <c r="AJ4" s="307" t="s">
        <v>503</v>
      </c>
      <c r="AK4" s="308"/>
      <c r="AL4" s="308"/>
      <c r="AM4" s="309"/>
    </row>
    <row r="5" spans="1:39" ht="23.25" customHeight="1" x14ac:dyDescent="0.25">
      <c r="A5" s="283"/>
      <c r="B5" s="283"/>
      <c r="C5" s="283"/>
      <c r="D5" s="302" t="s">
        <v>102</v>
      </c>
      <c r="E5" s="302" t="s">
        <v>103</v>
      </c>
      <c r="F5" s="303" t="s">
        <v>461</v>
      </c>
      <c r="G5" s="304"/>
      <c r="H5" s="282" t="s">
        <v>460</v>
      </c>
      <c r="I5" s="282"/>
      <c r="J5" s="303" t="s">
        <v>462</v>
      </c>
      <c r="K5" s="304"/>
      <c r="L5" s="334"/>
      <c r="M5" s="335"/>
      <c r="N5" s="334"/>
      <c r="O5" s="335"/>
      <c r="P5" s="310"/>
      <c r="Q5" s="311"/>
      <c r="R5" s="305" t="s">
        <v>506</v>
      </c>
      <c r="S5" s="306"/>
      <c r="T5" s="307" t="s">
        <v>495</v>
      </c>
      <c r="U5" s="308"/>
      <c r="V5" s="308"/>
      <c r="W5" s="309"/>
      <c r="X5" s="307" t="s">
        <v>498</v>
      </c>
      <c r="Y5" s="308"/>
      <c r="Z5" s="308"/>
      <c r="AA5" s="309"/>
      <c r="AB5" s="307" t="s">
        <v>505</v>
      </c>
      <c r="AC5" s="308"/>
      <c r="AD5" s="308"/>
      <c r="AE5" s="309"/>
      <c r="AF5" s="307" t="s">
        <v>501</v>
      </c>
      <c r="AG5" s="308"/>
      <c r="AH5" s="308"/>
      <c r="AI5" s="309"/>
      <c r="AJ5" s="307" t="s">
        <v>490</v>
      </c>
      <c r="AK5" s="309"/>
      <c r="AL5" s="307" t="s">
        <v>491</v>
      </c>
      <c r="AM5" s="309"/>
    </row>
    <row r="6" spans="1:39" ht="15" customHeight="1" x14ac:dyDescent="0.25">
      <c r="A6" s="283"/>
      <c r="B6" s="283"/>
      <c r="C6" s="283"/>
      <c r="D6" s="283"/>
      <c r="E6" s="283"/>
      <c r="F6" s="302" t="s">
        <v>122</v>
      </c>
      <c r="G6" s="302" t="s">
        <v>103</v>
      </c>
      <c r="H6" s="302" t="s">
        <v>122</v>
      </c>
      <c r="I6" s="302" t="s">
        <v>103</v>
      </c>
      <c r="J6" s="302" t="s">
        <v>122</v>
      </c>
      <c r="K6" s="302" t="s">
        <v>103</v>
      </c>
      <c r="L6" s="336" t="s">
        <v>528</v>
      </c>
      <c r="M6" s="336" t="s">
        <v>529</v>
      </c>
      <c r="N6" s="336" t="s">
        <v>528</v>
      </c>
      <c r="O6" s="336" t="s">
        <v>529</v>
      </c>
      <c r="P6" s="286"/>
      <c r="Q6" s="288"/>
      <c r="R6" s="310"/>
      <c r="S6" s="311"/>
      <c r="T6" s="307" t="s">
        <v>496</v>
      </c>
      <c r="U6" s="309"/>
      <c r="V6" s="307" t="s">
        <v>491</v>
      </c>
      <c r="W6" s="309"/>
      <c r="X6" s="307" t="s">
        <v>496</v>
      </c>
      <c r="Y6" s="309"/>
      <c r="Z6" s="307" t="s">
        <v>491</v>
      </c>
      <c r="AA6" s="309"/>
      <c r="AB6" s="307" t="s">
        <v>496</v>
      </c>
      <c r="AC6" s="309"/>
      <c r="AD6" s="307" t="s">
        <v>491</v>
      </c>
      <c r="AE6" s="309"/>
      <c r="AF6" s="307" t="s">
        <v>496</v>
      </c>
      <c r="AG6" s="309"/>
      <c r="AH6" s="307" t="s">
        <v>491</v>
      </c>
      <c r="AI6" s="309"/>
      <c r="AJ6" s="312" t="s">
        <v>502</v>
      </c>
      <c r="AK6" s="313" t="s">
        <v>500</v>
      </c>
      <c r="AL6" s="312" t="s">
        <v>502</v>
      </c>
      <c r="AM6" s="313" t="s">
        <v>500</v>
      </c>
    </row>
    <row r="7" spans="1:39" ht="92.25" customHeight="1" x14ac:dyDescent="0.25">
      <c r="A7" s="281"/>
      <c r="B7" s="281"/>
      <c r="C7" s="281"/>
      <c r="D7" s="281"/>
      <c r="E7" s="281"/>
      <c r="F7" s="281"/>
      <c r="G7" s="281"/>
      <c r="H7" s="281"/>
      <c r="I7" s="281"/>
      <c r="J7" s="281"/>
      <c r="K7" s="281"/>
      <c r="L7" s="337"/>
      <c r="M7" s="337"/>
      <c r="N7" s="337"/>
      <c r="O7" s="337"/>
      <c r="P7" s="296" t="s">
        <v>490</v>
      </c>
      <c r="Q7" s="296" t="s">
        <v>491</v>
      </c>
      <c r="R7" s="296" t="s">
        <v>490</v>
      </c>
      <c r="S7" s="296" t="s">
        <v>491</v>
      </c>
      <c r="T7" s="338" t="s">
        <v>499</v>
      </c>
      <c r="U7" s="339" t="s">
        <v>500</v>
      </c>
      <c r="V7" s="338" t="s">
        <v>499</v>
      </c>
      <c r="W7" s="339" t="s">
        <v>500</v>
      </c>
      <c r="X7" s="340" t="s">
        <v>504</v>
      </c>
      <c r="Y7" s="339" t="s">
        <v>500</v>
      </c>
      <c r="Z7" s="340" t="s">
        <v>504</v>
      </c>
      <c r="AA7" s="339" t="s">
        <v>500</v>
      </c>
      <c r="AB7" s="338" t="s">
        <v>502</v>
      </c>
      <c r="AC7" s="339" t="s">
        <v>500</v>
      </c>
      <c r="AD7" s="338" t="s">
        <v>502</v>
      </c>
      <c r="AE7" s="339" t="s">
        <v>500</v>
      </c>
      <c r="AF7" s="338" t="s">
        <v>502</v>
      </c>
      <c r="AG7" s="339" t="s">
        <v>500</v>
      </c>
      <c r="AH7" s="338" t="s">
        <v>502</v>
      </c>
      <c r="AI7" s="339" t="s">
        <v>500</v>
      </c>
      <c r="AJ7" s="341"/>
      <c r="AK7" s="342"/>
      <c r="AL7" s="341"/>
      <c r="AM7" s="342"/>
    </row>
    <row r="8" spans="1:39" ht="25.5" x14ac:dyDescent="0.25">
      <c r="A8" s="216" t="s">
        <v>632</v>
      </c>
      <c r="B8" s="125" t="s">
        <v>633</v>
      </c>
      <c r="C8" s="99"/>
      <c r="D8" s="99">
        <f>SUM(F8,H8,J8)</f>
        <v>77</v>
      </c>
      <c r="E8" s="218">
        <f>SUM(G8,I8,K8)</f>
        <v>72.56</v>
      </c>
      <c r="F8" s="99"/>
      <c r="G8" s="99"/>
      <c r="H8" s="99">
        <v>36</v>
      </c>
      <c r="I8" s="99">
        <v>32.96</v>
      </c>
      <c r="J8" s="99">
        <v>41</v>
      </c>
      <c r="K8" s="99">
        <v>39.6</v>
      </c>
      <c r="L8" s="99">
        <v>10</v>
      </c>
      <c r="M8" s="99">
        <v>635</v>
      </c>
      <c r="N8" s="99">
        <v>5</v>
      </c>
      <c r="O8" s="99">
        <v>444</v>
      </c>
      <c r="P8" s="97">
        <f>R8+AK8</f>
        <v>16752.625840000001</v>
      </c>
      <c r="Q8" s="97">
        <f>S8+AM8</f>
        <v>15401.431556314896</v>
      </c>
      <c r="R8" s="97">
        <f>SUM(U8,Y8,AC8,AG8)</f>
        <v>16572.625840000001</v>
      </c>
      <c r="S8" s="97">
        <f>SUM(W8,AA8,AE8,AI8)</f>
        <v>15293.432866314895</v>
      </c>
      <c r="T8" s="97">
        <v>2276</v>
      </c>
      <c r="U8" s="97">
        <v>9654.9500000000007</v>
      </c>
      <c r="V8" s="97">
        <v>2061.63</v>
      </c>
      <c r="W8" s="97">
        <v>9343.0330063148958</v>
      </c>
      <c r="X8" s="97">
        <v>2088</v>
      </c>
      <c r="Y8" s="97">
        <v>5762.0902399999995</v>
      </c>
      <c r="Z8" s="97">
        <v>2071.86</v>
      </c>
      <c r="AA8" s="97">
        <v>5439.9760800000004</v>
      </c>
      <c r="AB8" s="97">
        <v>6240</v>
      </c>
      <c r="AC8" s="97">
        <v>729.05039999999997</v>
      </c>
      <c r="AD8" s="97">
        <v>2655.6</v>
      </c>
      <c r="AE8" s="97">
        <v>334.10031000000004</v>
      </c>
      <c r="AF8" s="97">
        <v>6240</v>
      </c>
      <c r="AG8" s="97">
        <v>426.53519999999997</v>
      </c>
      <c r="AH8" s="97">
        <v>2655.6000000000004</v>
      </c>
      <c r="AI8" s="97">
        <v>176.32346999999999</v>
      </c>
      <c r="AJ8" s="97">
        <v>180</v>
      </c>
      <c r="AK8" s="97">
        <v>180</v>
      </c>
      <c r="AL8" s="97">
        <v>174.75</v>
      </c>
      <c r="AM8" s="97">
        <v>107.99869</v>
      </c>
    </row>
    <row r="9" spans="1:39" ht="25.5" x14ac:dyDescent="0.25">
      <c r="A9" s="216" t="s">
        <v>634</v>
      </c>
      <c r="B9" s="125" t="s">
        <v>633</v>
      </c>
      <c r="C9" s="99"/>
      <c r="D9" s="99">
        <f t="shared" ref="D9:E11" si="0">SUM(F9,H9,J9)</f>
        <v>31</v>
      </c>
      <c r="E9" s="218">
        <f>SUM(G9,I9,K9)</f>
        <v>30.869999999999997</v>
      </c>
      <c r="F9" s="99"/>
      <c r="G9" s="99"/>
      <c r="H9" s="99">
        <v>12</v>
      </c>
      <c r="I9" s="99">
        <v>12.17</v>
      </c>
      <c r="J9" s="99">
        <v>19</v>
      </c>
      <c r="K9" s="99">
        <v>18.7</v>
      </c>
      <c r="L9" s="99">
        <v>6</v>
      </c>
      <c r="M9" s="99">
        <v>251</v>
      </c>
      <c r="N9" s="99">
        <v>3</v>
      </c>
      <c r="O9" s="99">
        <v>108</v>
      </c>
      <c r="P9" s="97">
        <f t="shared" ref="P9:P12" si="1">R9+AK9</f>
        <v>7034.8659000000007</v>
      </c>
      <c r="Q9" s="97">
        <f t="shared" ref="Q9:Q10" si="2">S9+AM9</f>
        <v>4447.2726339217006</v>
      </c>
      <c r="R9" s="97">
        <f t="shared" ref="R9:R11" si="3">SUM(U9,Y9,AC9,AG9)</f>
        <v>6991.8659000000007</v>
      </c>
      <c r="S9" s="97">
        <f t="shared" ref="S9:S11" si="4">SUM(W9,AA9,AE9,AI9)</f>
        <v>4417.9080789217005</v>
      </c>
      <c r="T9" s="97">
        <v>321.77999999999997</v>
      </c>
      <c r="U9" s="97">
        <v>1391.8225000000002</v>
      </c>
      <c r="V9" s="97">
        <v>260.45999999999998</v>
      </c>
      <c r="W9" s="97">
        <v>1164.476110131701</v>
      </c>
      <c r="X9" s="97">
        <v>1720</v>
      </c>
      <c r="Y9" s="97">
        <v>4711.1314000000002</v>
      </c>
      <c r="Z9" s="97">
        <v>919.64800000000002</v>
      </c>
      <c r="AA9" s="97">
        <v>2418.7350949900001</v>
      </c>
      <c r="AB9" s="97">
        <v>4800</v>
      </c>
      <c r="AC9" s="97">
        <v>560.80799999999999</v>
      </c>
      <c r="AD9" s="97">
        <v>4267.26</v>
      </c>
      <c r="AE9" s="97">
        <v>537.14477390000002</v>
      </c>
      <c r="AF9" s="97">
        <v>4800</v>
      </c>
      <c r="AG9" s="97">
        <v>328.10399999999993</v>
      </c>
      <c r="AH9" s="97">
        <v>4267.26</v>
      </c>
      <c r="AI9" s="97">
        <v>297.55209989999997</v>
      </c>
      <c r="AJ9" s="97">
        <v>43.000000000000007</v>
      </c>
      <c r="AK9" s="97">
        <v>43.000000000000007</v>
      </c>
      <c r="AL9" s="97">
        <v>44.25</v>
      </c>
      <c r="AM9" s="97">
        <v>29.364554999999996</v>
      </c>
    </row>
    <row r="10" spans="1:39" ht="25.5" x14ac:dyDescent="0.25">
      <c r="A10" s="216" t="s">
        <v>635</v>
      </c>
      <c r="B10" s="125" t="s">
        <v>633</v>
      </c>
      <c r="C10" s="99"/>
      <c r="D10" s="99">
        <f t="shared" si="0"/>
        <v>33</v>
      </c>
      <c r="E10" s="218">
        <f t="shared" si="0"/>
        <v>31.75</v>
      </c>
      <c r="F10" s="99"/>
      <c r="G10" s="99"/>
      <c r="H10" s="99">
        <v>15</v>
      </c>
      <c r="I10" s="99">
        <f>14.4-0.15</f>
        <v>14.25</v>
      </c>
      <c r="J10" s="99">
        <v>18</v>
      </c>
      <c r="K10" s="99">
        <v>17.5</v>
      </c>
      <c r="L10" s="99">
        <v>4</v>
      </c>
      <c r="M10" s="99">
        <v>338</v>
      </c>
      <c r="N10" s="99">
        <v>4</v>
      </c>
      <c r="O10" s="99">
        <v>338</v>
      </c>
      <c r="P10" s="97">
        <f t="shared" si="1"/>
        <v>9722.0116400000006</v>
      </c>
      <c r="Q10" s="97">
        <f t="shared" si="2"/>
        <v>6877.7218824390729</v>
      </c>
      <c r="R10" s="97">
        <f t="shared" si="3"/>
        <v>9679.0116400000006</v>
      </c>
      <c r="S10" s="97">
        <f t="shared" si="4"/>
        <v>6835.7847674390732</v>
      </c>
      <c r="T10" s="97">
        <v>304.61</v>
      </c>
      <c r="U10" s="97">
        <v>1298.1637500000002</v>
      </c>
      <c r="V10" s="97">
        <v>309.2</v>
      </c>
      <c r="W10" s="97">
        <v>1399.3502711690746</v>
      </c>
      <c r="X10" s="97">
        <v>2277</v>
      </c>
      <c r="Y10" s="97">
        <v>6284.7658900000006</v>
      </c>
      <c r="Z10" s="97">
        <v>1107.0149999999999</v>
      </c>
      <c r="AA10" s="97">
        <v>2907.2036777699996</v>
      </c>
      <c r="AB10" s="97">
        <v>8400</v>
      </c>
      <c r="AC10" s="97">
        <v>1521.9</v>
      </c>
      <c r="AD10" s="97">
        <v>9216.32</v>
      </c>
      <c r="AE10" s="97">
        <v>1825.1658161</v>
      </c>
      <c r="AF10" s="97">
        <v>8400</v>
      </c>
      <c r="AG10" s="97">
        <v>574.18200000000002</v>
      </c>
      <c r="AH10" s="97">
        <v>9216.32</v>
      </c>
      <c r="AI10" s="97">
        <v>704.06500240000003</v>
      </c>
      <c r="AJ10" s="97">
        <v>43</v>
      </c>
      <c r="AK10" s="97">
        <v>43</v>
      </c>
      <c r="AL10" s="97">
        <v>75.75</v>
      </c>
      <c r="AM10" s="97">
        <v>41.937114999999999</v>
      </c>
    </row>
    <row r="11" spans="1:39" ht="25.5" x14ac:dyDescent="0.25">
      <c r="A11" s="216" t="s">
        <v>636</v>
      </c>
      <c r="B11" s="125" t="s">
        <v>633</v>
      </c>
      <c r="C11" s="99"/>
      <c r="D11" s="99">
        <f t="shared" si="0"/>
        <v>7</v>
      </c>
      <c r="E11" s="218">
        <f t="shared" si="0"/>
        <v>8.5300000000000011</v>
      </c>
      <c r="F11" s="99"/>
      <c r="G11" s="99"/>
      <c r="H11" s="99">
        <v>2</v>
      </c>
      <c r="I11" s="99">
        <v>2</v>
      </c>
      <c r="J11" s="99">
        <v>5</v>
      </c>
      <c r="K11" s="99">
        <v>6.53</v>
      </c>
      <c r="L11" s="99"/>
      <c r="M11" s="99"/>
      <c r="N11" s="99"/>
      <c r="O11" s="99"/>
      <c r="P11" s="97">
        <f t="shared" si="1"/>
        <v>1311.00992</v>
      </c>
      <c r="Q11" s="97">
        <f>S11+AM11</f>
        <v>1084.6958584675979</v>
      </c>
      <c r="R11" s="97">
        <f t="shared" si="3"/>
        <v>1124.00992</v>
      </c>
      <c r="S11" s="97">
        <f t="shared" si="4"/>
        <v>941.95854846759789</v>
      </c>
      <c r="T11" s="97">
        <v>281.35000000000002</v>
      </c>
      <c r="U11" s="97">
        <v>1124.00992</v>
      </c>
      <c r="V11" s="97">
        <v>237.51</v>
      </c>
      <c r="W11" s="97">
        <v>941.95854846759789</v>
      </c>
      <c r="X11" s="97"/>
      <c r="Y11" s="97"/>
      <c r="Z11" s="97"/>
      <c r="AA11" s="97"/>
      <c r="AB11" s="97"/>
      <c r="AC11" s="97"/>
      <c r="AD11" s="97"/>
      <c r="AE11" s="97"/>
      <c r="AF11" s="97"/>
      <c r="AG11" s="97"/>
      <c r="AH11" s="97"/>
      <c r="AI11" s="97"/>
      <c r="AJ11" s="97">
        <v>187</v>
      </c>
      <c r="AK11" s="97">
        <v>187</v>
      </c>
      <c r="AL11" s="97">
        <v>214.25</v>
      </c>
      <c r="AM11" s="97">
        <v>142.73730999999998</v>
      </c>
    </row>
    <row r="12" spans="1:39" ht="51" x14ac:dyDescent="0.25">
      <c r="A12" s="217" t="s">
        <v>637</v>
      </c>
      <c r="B12" s="219" t="s">
        <v>638</v>
      </c>
      <c r="C12" s="220">
        <v>1</v>
      </c>
      <c r="D12" s="221">
        <v>5</v>
      </c>
      <c r="E12" s="220">
        <v>5</v>
      </c>
      <c r="F12" s="220">
        <v>1</v>
      </c>
      <c r="G12" s="220">
        <v>1</v>
      </c>
      <c r="H12" s="220">
        <v>5</v>
      </c>
      <c r="I12" s="220">
        <v>5</v>
      </c>
      <c r="J12" s="220">
        <v>2</v>
      </c>
      <c r="K12" s="220">
        <v>3</v>
      </c>
      <c r="L12" s="220">
        <v>0</v>
      </c>
      <c r="M12" s="220">
        <v>0</v>
      </c>
      <c r="N12" s="220">
        <v>0</v>
      </c>
      <c r="O12" s="220">
        <v>0</v>
      </c>
      <c r="P12" s="221">
        <f t="shared" si="1"/>
        <v>1006.205</v>
      </c>
      <c r="Q12" s="221">
        <f>S12+AM12</f>
        <v>900.90289000000007</v>
      </c>
      <c r="R12" s="221">
        <f>U12+Y12+AC12+AG12+AK12</f>
        <v>994.95500000000004</v>
      </c>
      <c r="S12" s="222">
        <f>W12+AA12+AE12+AI12+AM12</f>
        <v>890.21539000000007</v>
      </c>
      <c r="T12" s="221">
        <v>33008</v>
      </c>
      <c r="U12" s="222">
        <v>182.86431999999999</v>
      </c>
      <c r="V12" s="221">
        <v>40433</v>
      </c>
      <c r="W12" s="222">
        <v>223.87777</v>
      </c>
      <c r="X12" s="221">
        <v>269.39999999999998</v>
      </c>
      <c r="Y12" s="221">
        <v>702.31772000000001</v>
      </c>
      <c r="Z12" s="221">
        <v>191.57300000000001</v>
      </c>
      <c r="AA12" s="221">
        <v>602.17966999999999</v>
      </c>
      <c r="AB12" s="221">
        <v>72</v>
      </c>
      <c r="AC12" s="221">
        <v>10.3994</v>
      </c>
      <c r="AD12" s="221">
        <v>196</v>
      </c>
      <c r="AE12" s="221">
        <v>31.09609</v>
      </c>
      <c r="AF12" s="221">
        <v>142</v>
      </c>
      <c r="AG12" s="221">
        <v>88.123559999999998</v>
      </c>
      <c r="AH12" s="221">
        <v>36</v>
      </c>
      <c r="AI12" s="221">
        <v>22.374359999999999</v>
      </c>
      <c r="AJ12" s="221">
        <v>15</v>
      </c>
      <c r="AK12" s="221">
        <v>11.25</v>
      </c>
      <c r="AL12" s="221" t="s">
        <v>639</v>
      </c>
      <c r="AM12" s="221">
        <v>10.6875</v>
      </c>
    </row>
  </sheetData>
  <mergeCells count="47">
    <mergeCell ref="A1:O1"/>
    <mergeCell ref="B2:L2"/>
    <mergeCell ref="B3:L3"/>
    <mergeCell ref="D4:E4"/>
    <mergeCell ref="A4:A7"/>
    <mergeCell ref="B4:B7"/>
    <mergeCell ref="C4:C7"/>
    <mergeCell ref="D5:D7"/>
    <mergeCell ref="E5:E7"/>
    <mergeCell ref="F5:G5"/>
    <mergeCell ref="G6:G7"/>
    <mergeCell ref="J6:J7"/>
    <mergeCell ref="K6:K7"/>
    <mergeCell ref="H5:I5"/>
    <mergeCell ref="H6:H7"/>
    <mergeCell ref="I6:I7"/>
    <mergeCell ref="N6:N7"/>
    <mergeCell ref="AM6:AM7"/>
    <mergeCell ref="AJ4:AM4"/>
    <mergeCell ref="T5:W5"/>
    <mergeCell ref="X5:AA5"/>
    <mergeCell ref="AB5:AE5"/>
    <mergeCell ref="AF5:AI5"/>
    <mergeCell ref="AJ5:AK5"/>
    <mergeCell ref="AL5:AM5"/>
    <mergeCell ref="AH6:AI6"/>
    <mergeCell ref="AJ6:AJ7"/>
    <mergeCell ref="AK6:AK7"/>
    <mergeCell ref="AL6:AL7"/>
    <mergeCell ref="O6:O7"/>
    <mergeCell ref="R5:S6"/>
    <mergeCell ref="P4:Q6"/>
    <mergeCell ref="F4:K4"/>
    <mergeCell ref="R4:AI4"/>
    <mergeCell ref="T6:U6"/>
    <mergeCell ref="V6:W6"/>
    <mergeCell ref="X6:Y6"/>
    <mergeCell ref="Z6:AA6"/>
    <mergeCell ref="AB6:AC6"/>
    <mergeCell ref="AD6:AE6"/>
    <mergeCell ref="AF6:AG6"/>
    <mergeCell ref="L4:M5"/>
    <mergeCell ref="N4:O5"/>
    <mergeCell ref="J5:K5"/>
    <mergeCell ref="F6:F7"/>
    <mergeCell ref="L6:L7"/>
    <mergeCell ref="M6:M7"/>
  </mergeCell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rgb="FF00B0F0"/>
  </sheetPr>
  <dimension ref="A1:BI11"/>
  <sheetViews>
    <sheetView zoomScale="80" zoomScaleNormal="80" workbookViewId="0">
      <selection activeCell="B15" sqref="B15"/>
    </sheetView>
  </sheetViews>
  <sheetFormatPr defaultRowHeight="15" x14ac:dyDescent="0.25"/>
  <cols>
    <col min="1" max="2" width="17" customWidth="1"/>
    <col min="3" max="7" width="6.28515625" customWidth="1"/>
    <col min="8" max="27" width="5.7109375" customWidth="1"/>
    <col min="28" max="37" width="8" customWidth="1"/>
    <col min="38" max="61" width="10" customWidth="1"/>
  </cols>
  <sheetData>
    <row r="1" spans="1:61" s="87" customFormat="1" ht="18" customHeight="1" x14ac:dyDescent="0.25">
      <c r="A1" s="92"/>
      <c r="B1" s="93" t="s">
        <v>164</v>
      </c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  <c r="AH1" s="92"/>
      <c r="AI1" s="92"/>
      <c r="AJ1" s="92"/>
      <c r="AK1" s="92"/>
    </row>
    <row r="2" spans="1:61" s="87" customFormat="1" x14ac:dyDescent="0.25">
      <c r="A2" s="85"/>
      <c r="B2" s="260" t="s">
        <v>897</v>
      </c>
      <c r="C2" s="260"/>
      <c r="D2" s="260"/>
      <c r="E2" s="260"/>
      <c r="F2" s="260"/>
      <c r="G2" s="260"/>
      <c r="H2" s="260"/>
      <c r="I2" s="260"/>
      <c r="J2" s="260"/>
      <c r="K2" s="260"/>
      <c r="L2" s="260"/>
      <c r="M2" s="260"/>
      <c r="N2" s="260"/>
      <c r="O2" s="260"/>
      <c r="P2" s="260"/>
      <c r="Q2" s="260"/>
      <c r="R2" s="260"/>
      <c r="S2" s="260"/>
      <c r="T2" s="260"/>
      <c r="U2" s="260"/>
      <c r="V2" s="260"/>
      <c r="W2" s="260"/>
      <c r="X2" s="260"/>
      <c r="Y2" s="260"/>
      <c r="Z2" s="260"/>
      <c r="AA2" s="260"/>
      <c r="AB2" s="260"/>
      <c r="AC2" s="260"/>
      <c r="AD2" s="260"/>
      <c r="AE2" s="260"/>
      <c r="AF2" s="260"/>
      <c r="AG2" s="260"/>
      <c r="AH2" s="260"/>
      <c r="AI2" s="260"/>
      <c r="AJ2" s="260"/>
      <c r="AK2" s="260"/>
    </row>
    <row r="3" spans="1:61" s="87" customFormat="1" x14ac:dyDescent="0.25">
      <c r="A3" s="84"/>
      <c r="B3" s="260" t="s">
        <v>587</v>
      </c>
      <c r="C3" s="260"/>
      <c r="D3" s="260"/>
      <c r="E3" s="260"/>
      <c r="F3" s="260"/>
      <c r="G3" s="260"/>
      <c r="H3" s="260"/>
      <c r="I3" s="260"/>
      <c r="J3" s="260"/>
      <c r="K3" s="260"/>
      <c r="L3" s="260"/>
      <c r="M3" s="260"/>
      <c r="N3" s="260"/>
      <c r="O3" s="260"/>
      <c r="P3" s="260"/>
      <c r="Q3" s="260"/>
      <c r="R3" s="260"/>
      <c r="S3" s="260"/>
      <c r="T3" s="260"/>
      <c r="U3" s="260"/>
      <c r="V3" s="260"/>
      <c r="W3" s="260"/>
      <c r="X3" s="260"/>
      <c r="Y3" s="260"/>
      <c r="Z3" s="260"/>
      <c r="AA3" s="260"/>
      <c r="AB3" s="260"/>
      <c r="AC3" s="260"/>
      <c r="AD3" s="260"/>
      <c r="AE3" s="260"/>
      <c r="AF3" s="260"/>
      <c r="AG3" s="260"/>
      <c r="AH3" s="260"/>
      <c r="AI3" s="260"/>
      <c r="AJ3" s="260"/>
      <c r="AK3" s="260"/>
    </row>
    <row r="4" spans="1:61" s="87" customFormat="1" ht="53.25" customHeight="1" x14ac:dyDescent="0.25">
      <c r="A4" s="290" t="s">
        <v>165</v>
      </c>
      <c r="B4" s="290" t="s">
        <v>118</v>
      </c>
      <c r="C4" s="290" t="s">
        <v>508</v>
      </c>
      <c r="D4" s="290"/>
      <c r="E4" s="290" t="s">
        <v>509</v>
      </c>
      <c r="F4" s="290"/>
      <c r="G4" s="290" t="s">
        <v>160</v>
      </c>
      <c r="H4" s="290"/>
      <c r="I4" s="290"/>
      <c r="J4" s="290"/>
      <c r="K4" s="290"/>
      <c r="L4" s="290"/>
      <c r="M4" s="290"/>
      <c r="N4" s="290" t="s">
        <v>161</v>
      </c>
      <c r="O4" s="290"/>
      <c r="P4" s="290"/>
      <c r="Q4" s="290"/>
      <c r="R4" s="290"/>
      <c r="S4" s="290"/>
      <c r="T4" s="290"/>
      <c r="U4" s="290" t="s">
        <v>162</v>
      </c>
      <c r="V4" s="290"/>
      <c r="W4" s="290"/>
      <c r="X4" s="290"/>
      <c r="Y4" s="290"/>
      <c r="Z4" s="290"/>
      <c r="AA4" s="290"/>
      <c r="AB4" s="290" t="s">
        <v>100</v>
      </c>
      <c r="AC4" s="290"/>
      <c r="AD4" s="290" t="s">
        <v>461</v>
      </c>
      <c r="AE4" s="290"/>
      <c r="AF4" s="290" t="s">
        <v>460</v>
      </c>
      <c r="AG4" s="290"/>
      <c r="AH4" s="290"/>
      <c r="AI4" s="290"/>
      <c r="AJ4" s="290" t="s">
        <v>462</v>
      </c>
      <c r="AK4" s="290"/>
      <c r="AL4" s="290" t="s">
        <v>507</v>
      </c>
      <c r="AM4" s="290"/>
      <c r="AN4" s="291" t="s">
        <v>497</v>
      </c>
      <c r="AO4" s="291"/>
      <c r="AP4" s="291"/>
      <c r="AQ4" s="291"/>
      <c r="AR4" s="291"/>
      <c r="AS4" s="291"/>
      <c r="AT4" s="291"/>
      <c r="AU4" s="291"/>
      <c r="AV4" s="291"/>
      <c r="AW4" s="291"/>
      <c r="AX4" s="291"/>
      <c r="AY4" s="291"/>
      <c r="AZ4" s="291"/>
      <c r="BA4" s="291"/>
      <c r="BB4" s="291"/>
      <c r="BC4" s="291"/>
      <c r="BD4" s="291"/>
      <c r="BE4" s="291"/>
      <c r="BF4" s="291" t="s">
        <v>503</v>
      </c>
      <c r="BG4" s="291"/>
      <c r="BH4" s="291"/>
      <c r="BI4" s="291"/>
    </row>
    <row r="5" spans="1:61" s="87" customFormat="1" ht="15" customHeight="1" x14ac:dyDescent="0.25">
      <c r="A5" s="290"/>
      <c r="B5" s="290"/>
      <c r="C5" s="290" t="s">
        <v>163</v>
      </c>
      <c r="D5" s="290" t="s">
        <v>104</v>
      </c>
      <c r="E5" s="290" t="s">
        <v>163</v>
      </c>
      <c r="F5" s="290" t="s">
        <v>104</v>
      </c>
      <c r="G5" s="290" t="s">
        <v>94</v>
      </c>
      <c r="H5" s="290" t="s">
        <v>510</v>
      </c>
      <c r="I5" s="290"/>
      <c r="J5" s="290" t="s">
        <v>511</v>
      </c>
      <c r="K5" s="290"/>
      <c r="L5" s="290" t="s">
        <v>512</v>
      </c>
      <c r="M5" s="290"/>
      <c r="N5" s="290" t="s">
        <v>94</v>
      </c>
      <c r="O5" s="290" t="s">
        <v>510</v>
      </c>
      <c r="P5" s="290"/>
      <c r="Q5" s="290" t="s">
        <v>511</v>
      </c>
      <c r="R5" s="290"/>
      <c r="S5" s="290" t="s">
        <v>512</v>
      </c>
      <c r="T5" s="290"/>
      <c r="U5" s="290" t="s">
        <v>94</v>
      </c>
      <c r="V5" s="290" t="s">
        <v>510</v>
      </c>
      <c r="W5" s="290"/>
      <c r="X5" s="290" t="s">
        <v>511</v>
      </c>
      <c r="Y5" s="290"/>
      <c r="Z5" s="290" t="s">
        <v>512</v>
      </c>
      <c r="AA5" s="290"/>
      <c r="AB5" s="290" t="s">
        <v>102</v>
      </c>
      <c r="AC5" s="290" t="s">
        <v>103</v>
      </c>
      <c r="AD5" s="290" t="s">
        <v>122</v>
      </c>
      <c r="AE5" s="290" t="s">
        <v>103</v>
      </c>
      <c r="AF5" s="290" t="s">
        <v>123</v>
      </c>
      <c r="AG5" s="290"/>
      <c r="AH5" s="290" t="s">
        <v>121</v>
      </c>
      <c r="AI5" s="290"/>
      <c r="AJ5" s="290" t="s">
        <v>122</v>
      </c>
      <c r="AK5" s="290" t="s">
        <v>103</v>
      </c>
      <c r="AL5" s="290"/>
      <c r="AM5" s="290"/>
      <c r="AN5" s="290" t="s">
        <v>506</v>
      </c>
      <c r="AO5" s="290"/>
      <c r="AP5" s="291" t="s">
        <v>495</v>
      </c>
      <c r="AQ5" s="291"/>
      <c r="AR5" s="291"/>
      <c r="AS5" s="291"/>
      <c r="AT5" s="291" t="s">
        <v>498</v>
      </c>
      <c r="AU5" s="291"/>
      <c r="AV5" s="291"/>
      <c r="AW5" s="291"/>
      <c r="AX5" s="291" t="s">
        <v>505</v>
      </c>
      <c r="AY5" s="291"/>
      <c r="AZ5" s="291"/>
      <c r="BA5" s="291"/>
      <c r="BB5" s="291" t="s">
        <v>501</v>
      </c>
      <c r="BC5" s="291"/>
      <c r="BD5" s="291"/>
      <c r="BE5" s="291"/>
      <c r="BF5" s="291" t="s">
        <v>490</v>
      </c>
      <c r="BG5" s="291"/>
      <c r="BH5" s="291" t="s">
        <v>491</v>
      </c>
      <c r="BI5" s="291"/>
    </row>
    <row r="6" spans="1:61" s="87" customFormat="1" ht="15" customHeight="1" x14ac:dyDescent="0.25">
      <c r="A6" s="290"/>
      <c r="B6" s="290"/>
      <c r="C6" s="290"/>
      <c r="D6" s="290"/>
      <c r="E6" s="290"/>
      <c r="F6" s="290"/>
      <c r="G6" s="290"/>
      <c r="H6" s="290"/>
      <c r="I6" s="290"/>
      <c r="J6" s="290" t="s">
        <v>511</v>
      </c>
      <c r="K6" s="290"/>
      <c r="L6" s="290" t="s">
        <v>512</v>
      </c>
      <c r="M6" s="290"/>
      <c r="N6" s="290"/>
      <c r="O6" s="290"/>
      <c r="P6" s="290"/>
      <c r="Q6" s="290" t="s">
        <v>511</v>
      </c>
      <c r="R6" s="290"/>
      <c r="S6" s="290" t="s">
        <v>512</v>
      </c>
      <c r="T6" s="290"/>
      <c r="U6" s="290"/>
      <c r="V6" s="290"/>
      <c r="W6" s="290"/>
      <c r="X6" s="290" t="s">
        <v>511</v>
      </c>
      <c r="Y6" s="290"/>
      <c r="Z6" s="290" t="s">
        <v>512</v>
      </c>
      <c r="AA6" s="290"/>
      <c r="AB6" s="290"/>
      <c r="AC6" s="290"/>
      <c r="AD6" s="290"/>
      <c r="AE6" s="290"/>
      <c r="AF6" s="290" t="s">
        <v>122</v>
      </c>
      <c r="AG6" s="290" t="s">
        <v>103</v>
      </c>
      <c r="AH6" s="290"/>
      <c r="AI6" s="290"/>
      <c r="AJ6" s="290"/>
      <c r="AK6" s="290"/>
      <c r="AL6" s="290"/>
      <c r="AM6" s="290"/>
      <c r="AN6" s="290"/>
      <c r="AO6" s="290"/>
      <c r="AP6" s="291" t="s">
        <v>496</v>
      </c>
      <c r="AQ6" s="291"/>
      <c r="AR6" s="291" t="s">
        <v>491</v>
      </c>
      <c r="AS6" s="291"/>
      <c r="AT6" s="291" t="s">
        <v>496</v>
      </c>
      <c r="AU6" s="291"/>
      <c r="AV6" s="291" t="s">
        <v>491</v>
      </c>
      <c r="AW6" s="291"/>
      <c r="AX6" s="291" t="s">
        <v>496</v>
      </c>
      <c r="AY6" s="291"/>
      <c r="AZ6" s="291" t="s">
        <v>491</v>
      </c>
      <c r="BA6" s="291"/>
      <c r="BB6" s="291" t="s">
        <v>496</v>
      </c>
      <c r="BC6" s="291"/>
      <c r="BD6" s="291" t="s">
        <v>491</v>
      </c>
      <c r="BE6" s="291"/>
      <c r="BF6" s="291" t="s">
        <v>502</v>
      </c>
      <c r="BG6" s="291" t="s">
        <v>500</v>
      </c>
      <c r="BH6" s="291" t="s">
        <v>502</v>
      </c>
      <c r="BI6" s="291" t="s">
        <v>500</v>
      </c>
    </row>
    <row r="7" spans="1:61" s="87" customFormat="1" ht="73.5" x14ac:dyDescent="0.25">
      <c r="A7" s="290"/>
      <c r="B7" s="290"/>
      <c r="C7" s="290"/>
      <c r="D7" s="290"/>
      <c r="E7" s="290"/>
      <c r="F7" s="290"/>
      <c r="G7" s="290"/>
      <c r="H7" s="292" t="s">
        <v>513</v>
      </c>
      <c r="I7" s="292" t="s">
        <v>514</v>
      </c>
      <c r="J7" s="292" t="s">
        <v>513</v>
      </c>
      <c r="K7" s="292" t="s">
        <v>514</v>
      </c>
      <c r="L7" s="292" t="s">
        <v>513</v>
      </c>
      <c r="M7" s="292" t="s">
        <v>514</v>
      </c>
      <c r="N7" s="290"/>
      <c r="O7" s="292" t="s">
        <v>513</v>
      </c>
      <c r="P7" s="292" t="s">
        <v>514</v>
      </c>
      <c r="Q7" s="292" t="s">
        <v>513</v>
      </c>
      <c r="R7" s="292" t="s">
        <v>514</v>
      </c>
      <c r="S7" s="292" t="s">
        <v>513</v>
      </c>
      <c r="T7" s="292" t="s">
        <v>514</v>
      </c>
      <c r="U7" s="290"/>
      <c r="V7" s="292" t="s">
        <v>513</v>
      </c>
      <c r="W7" s="292" t="s">
        <v>514</v>
      </c>
      <c r="X7" s="292" t="s">
        <v>513</v>
      </c>
      <c r="Y7" s="292" t="s">
        <v>514</v>
      </c>
      <c r="Z7" s="292" t="s">
        <v>513</v>
      </c>
      <c r="AA7" s="292" t="s">
        <v>514</v>
      </c>
      <c r="AB7" s="290"/>
      <c r="AC7" s="290"/>
      <c r="AD7" s="290"/>
      <c r="AE7" s="290"/>
      <c r="AF7" s="290"/>
      <c r="AG7" s="290"/>
      <c r="AH7" s="292" t="s">
        <v>102</v>
      </c>
      <c r="AI7" s="292" t="s">
        <v>103</v>
      </c>
      <c r="AJ7" s="290"/>
      <c r="AK7" s="290"/>
      <c r="AL7" s="292" t="s">
        <v>490</v>
      </c>
      <c r="AM7" s="292" t="s">
        <v>491</v>
      </c>
      <c r="AN7" s="292" t="s">
        <v>490</v>
      </c>
      <c r="AO7" s="292" t="s">
        <v>491</v>
      </c>
      <c r="AP7" s="293" t="s">
        <v>499</v>
      </c>
      <c r="AQ7" s="293" t="s">
        <v>500</v>
      </c>
      <c r="AR7" s="293" t="s">
        <v>499</v>
      </c>
      <c r="AS7" s="293" t="s">
        <v>500</v>
      </c>
      <c r="AT7" s="294" t="s">
        <v>504</v>
      </c>
      <c r="AU7" s="293" t="s">
        <v>500</v>
      </c>
      <c r="AV7" s="294" t="s">
        <v>504</v>
      </c>
      <c r="AW7" s="293" t="s">
        <v>500</v>
      </c>
      <c r="AX7" s="293" t="s">
        <v>502</v>
      </c>
      <c r="AY7" s="293" t="s">
        <v>500</v>
      </c>
      <c r="AZ7" s="293" t="s">
        <v>502</v>
      </c>
      <c r="BA7" s="293" t="s">
        <v>500</v>
      </c>
      <c r="BB7" s="293" t="s">
        <v>502</v>
      </c>
      <c r="BC7" s="293" t="s">
        <v>500</v>
      </c>
      <c r="BD7" s="293" t="s">
        <v>502</v>
      </c>
      <c r="BE7" s="293" t="s">
        <v>500</v>
      </c>
      <c r="BF7" s="291"/>
      <c r="BG7" s="291"/>
      <c r="BH7" s="291"/>
      <c r="BI7" s="291"/>
    </row>
    <row r="8" spans="1:61" ht="60.75" customHeight="1" x14ac:dyDescent="0.25">
      <c r="A8" s="223" t="s">
        <v>659</v>
      </c>
      <c r="B8" s="224" t="s">
        <v>660</v>
      </c>
      <c r="C8" s="218">
        <v>1233</v>
      </c>
      <c r="D8" s="218">
        <v>784</v>
      </c>
      <c r="E8" s="218">
        <v>376</v>
      </c>
      <c r="F8" s="218">
        <v>376</v>
      </c>
      <c r="G8" s="218">
        <v>337</v>
      </c>
      <c r="H8" s="218">
        <v>198</v>
      </c>
      <c r="I8" s="218">
        <v>0</v>
      </c>
      <c r="J8" s="218">
        <v>0</v>
      </c>
      <c r="K8" s="218">
        <v>139</v>
      </c>
      <c r="L8" s="218">
        <v>0</v>
      </c>
      <c r="M8" s="218">
        <v>0</v>
      </c>
      <c r="N8" s="218">
        <v>76</v>
      </c>
      <c r="O8" s="218">
        <v>44</v>
      </c>
      <c r="P8" s="218">
        <v>0</v>
      </c>
      <c r="Q8" s="218">
        <v>0</v>
      </c>
      <c r="R8" s="218">
        <v>32</v>
      </c>
      <c r="S8" s="218">
        <v>0</v>
      </c>
      <c r="T8" s="218">
        <v>0</v>
      </c>
      <c r="U8" s="218">
        <v>102</v>
      </c>
      <c r="V8" s="218">
        <v>66</v>
      </c>
      <c r="W8" s="218">
        <v>0</v>
      </c>
      <c r="X8" s="218">
        <v>0</v>
      </c>
      <c r="Y8" s="218">
        <v>36</v>
      </c>
      <c r="Z8" s="218">
        <v>0</v>
      </c>
      <c r="AA8" s="218">
        <v>0</v>
      </c>
      <c r="AB8" s="225">
        <v>159</v>
      </c>
      <c r="AC8" s="225">
        <v>68</v>
      </c>
      <c r="AD8" s="225">
        <v>22</v>
      </c>
      <c r="AE8" s="225">
        <v>14</v>
      </c>
      <c r="AF8" s="225">
        <v>89</v>
      </c>
      <c r="AG8" s="225">
        <v>25</v>
      </c>
      <c r="AH8" s="225">
        <v>89</v>
      </c>
      <c r="AI8" s="225">
        <v>25</v>
      </c>
      <c r="AJ8" s="225">
        <v>48</v>
      </c>
      <c r="AK8" s="225">
        <v>29</v>
      </c>
      <c r="AL8" s="226">
        <f>AN8+BG8</f>
        <v>23386.6</v>
      </c>
      <c r="AM8" s="226">
        <f>AO8+BI8</f>
        <v>23371.7</v>
      </c>
      <c r="AN8" s="226">
        <f>AQ8+AU8+AY8+BC8</f>
        <v>23311.5</v>
      </c>
      <c r="AO8" s="226">
        <f>AS8+AW8+BA8+BE8</f>
        <v>23311.5</v>
      </c>
      <c r="AP8" s="226">
        <v>362.1</v>
      </c>
      <c r="AQ8" s="226">
        <v>1506.7</v>
      </c>
      <c r="AR8" s="226">
        <v>362.1</v>
      </c>
      <c r="AS8" s="226">
        <v>1506.7</v>
      </c>
      <c r="AT8" s="226">
        <v>2908.2</v>
      </c>
      <c r="AU8" s="226">
        <v>18598.099999999999</v>
      </c>
      <c r="AV8" s="226">
        <v>2908.2</v>
      </c>
      <c r="AW8" s="226">
        <v>18598.099999999999</v>
      </c>
      <c r="AX8" s="226">
        <f>5143.3+6582.8</f>
        <v>11726.1</v>
      </c>
      <c r="AY8" s="226">
        <f>1374.4+769.9</f>
        <v>2144.3000000000002</v>
      </c>
      <c r="AZ8" s="226">
        <v>11726.1</v>
      </c>
      <c r="BA8" s="226">
        <v>2144.3000000000002</v>
      </c>
      <c r="BB8" s="226">
        <v>9964.9</v>
      </c>
      <c r="BC8" s="226">
        <v>1062.4000000000001</v>
      </c>
      <c r="BD8" s="226">
        <v>9964.9</v>
      </c>
      <c r="BE8" s="226">
        <v>1062.4000000000001</v>
      </c>
      <c r="BF8" s="226">
        <v>24</v>
      </c>
      <c r="BG8" s="226">
        <v>75.099999999999994</v>
      </c>
      <c r="BH8" s="226">
        <v>24</v>
      </c>
      <c r="BI8" s="226">
        <v>60.2</v>
      </c>
    </row>
    <row r="9" spans="1:61" ht="60.75" customHeight="1" x14ac:dyDescent="0.25">
      <c r="A9" s="223" t="s">
        <v>661</v>
      </c>
      <c r="B9" s="224" t="s">
        <v>660</v>
      </c>
      <c r="C9" s="218">
        <v>200</v>
      </c>
      <c r="D9" s="218">
        <v>181</v>
      </c>
      <c r="E9" s="218">
        <v>0</v>
      </c>
      <c r="F9" s="218">
        <v>0</v>
      </c>
      <c r="G9" s="218">
        <v>181</v>
      </c>
      <c r="H9" s="218">
        <v>159</v>
      </c>
      <c r="I9" s="218">
        <v>0</v>
      </c>
      <c r="J9" s="218">
        <v>0</v>
      </c>
      <c r="K9" s="218">
        <v>0</v>
      </c>
      <c r="L9" s="218">
        <v>22</v>
      </c>
      <c r="M9" s="218">
        <v>0</v>
      </c>
      <c r="N9" s="218">
        <v>92</v>
      </c>
      <c r="O9" s="218">
        <v>70</v>
      </c>
      <c r="P9" s="218">
        <v>0</v>
      </c>
      <c r="Q9" s="218">
        <v>0</v>
      </c>
      <c r="R9" s="218">
        <v>0</v>
      </c>
      <c r="S9" s="218">
        <v>22</v>
      </c>
      <c r="T9" s="218">
        <v>0</v>
      </c>
      <c r="U9" s="218">
        <v>51</v>
      </c>
      <c r="V9" s="218">
        <v>51</v>
      </c>
      <c r="W9" s="218">
        <v>0</v>
      </c>
      <c r="X9" s="218">
        <v>0</v>
      </c>
      <c r="Y9" s="218">
        <v>0</v>
      </c>
      <c r="Z9" s="218">
        <v>0</v>
      </c>
      <c r="AA9" s="218">
        <v>0</v>
      </c>
      <c r="AB9" s="218">
        <v>35</v>
      </c>
      <c r="AC9" s="218">
        <v>19</v>
      </c>
      <c r="AD9" s="218">
        <v>3</v>
      </c>
      <c r="AE9" s="218">
        <v>3</v>
      </c>
      <c r="AF9" s="218">
        <v>15</v>
      </c>
      <c r="AG9" s="218">
        <v>6</v>
      </c>
      <c r="AH9" s="218">
        <v>15</v>
      </c>
      <c r="AI9" s="218">
        <v>6</v>
      </c>
      <c r="AJ9" s="218">
        <v>19</v>
      </c>
      <c r="AK9" s="218">
        <v>10</v>
      </c>
      <c r="AL9" s="226">
        <f>AN9+BG9</f>
        <v>2649.9</v>
      </c>
      <c r="AM9" s="226">
        <f>AO9+BI9</f>
        <v>2649.9</v>
      </c>
      <c r="AN9" s="226">
        <f>AQ9+AU9+AY9+BC9</f>
        <v>2610.3000000000002</v>
      </c>
      <c r="AO9" s="226">
        <f>AS9+AW9+BA9+BE9</f>
        <v>2610.3000000000002</v>
      </c>
      <c r="AP9" s="226">
        <v>106.4</v>
      </c>
      <c r="AQ9" s="226">
        <v>591.6</v>
      </c>
      <c r="AR9" s="226">
        <v>106.4</v>
      </c>
      <c r="AS9" s="226">
        <v>591.6</v>
      </c>
      <c r="AT9" s="226">
        <v>361</v>
      </c>
      <c r="AU9" s="226">
        <v>1574.9</v>
      </c>
      <c r="AV9" s="226">
        <v>361</v>
      </c>
      <c r="AW9" s="226">
        <v>1574.9</v>
      </c>
      <c r="AX9" s="226">
        <v>1743.3</v>
      </c>
      <c r="AY9" s="226">
        <v>326.89999999999998</v>
      </c>
      <c r="AZ9" s="226">
        <v>1743.3</v>
      </c>
      <c r="BA9" s="226">
        <v>326.89999999999998</v>
      </c>
      <c r="BB9" s="226">
        <v>1743.3</v>
      </c>
      <c r="BC9" s="226">
        <v>116.9</v>
      </c>
      <c r="BD9" s="226">
        <v>1743.3</v>
      </c>
      <c r="BE9" s="226">
        <v>116.9</v>
      </c>
      <c r="BF9" s="226">
        <v>4.17</v>
      </c>
      <c r="BG9" s="226">
        <v>39.6</v>
      </c>
      <c r="BH9" s="226">
        <v>4.17</v>
      </c>
      <c r="BI9" s="226">
        <v>39.6</v>
      </c>
    </row>
    <row r="10" spans="1:61" ht="60.75" customHeight="1" x14ac:dyDescent="0.25">
      <c r="A10" s="223" t="s">
        <v>662</v>
      </c>
      <c r="B10" s="224" t="s">
        <v>660</v>
      </c>
      <c r="C10" s="218">
        <v>250</v>
      </c>
      <c r="D10" s="218">
        <v>172</v>
      </c>
      <c r="E10" s="218">
        <v>0</v>
      </c>
      <c r="F10" s="218">
        <v>0</v>
      </c>
      <c r="G10" s="218">
        <v>172</v>
      </c>
      <c r="H10" s="218">
        <v>124</v>
      </c>
      <c r="I10" s="218">
        <v>39</v>
      </c>
      <c r="J10" s="218">
        <v>0</v>
      </c>
      <c r="K10" s="218">
        <v>9</v>
      </c>
      <c r="L10" s="218">
        <v>0</v>
      </c>
      <c r="M10" s="218">
        <v>0</v>
      </c>
      <c r="N10" s="218">
        <v>46</v>
      </c>
      <c r="O10" s="218">
        <v>45</v>
      </c>
      <c r="P10" s="218">
        <v>1</v>
      </c>
      <c r="Q10" s="218">
        <v>0</v>
      </c>
      <c r="R10" s="218">
        <v>0</v>
      </c>
      <c r="S10" s="218">
        <v>0</v>
      </c>
      <c r="T10" s="218">
        <v>0</v>
      </c>
      <c r="U10" s="218">
        <v>39</v>
      </c>
      <c r="V10" s="218">
        <v>19</v>
      </c>
      <c r="W10" s="218">
        <v>12</v>
      </c>
      <c r="X10" s="218">
        <v>0</v>
      </c>
      <c r="Y10" s="218">
        <v>8</v>
      </c>
      <c r="Z10" s="218">
        <v>0</v>
      </c>
      <c r="AA10" s="218">
        <v>0</v>
      </c>
      <c r="AB10" s="218">
        <v>44</v>
      </c>
      <c r="AC10" s="218">
        <v>21</v>
      </c>
      <c r="AD10" s="218">
        <v>0</v>
      </c>
      <c r="AE10" s="218">
        <v>0</v>
      </c>
      <c r="AF10" s="218">
        <v>28</v>
      </c>
      <c r="AG10" s="218">
        <v>16</v>
      </c>
      <c r="AH10" s="218">
        <v>21</v>
      </c>
      <c r="AI10" s="218">
        <v>10</v>
      </c>
      <c r="AJ10" s="218">
        <v>16</v>
      </c>
      <c r="AK10" s="218">
        <v>5</v>
      </c>
      <c r="AL10" s="226">
        <f>AN10+BG10</f>
        <v>5503.7400000000007</v>
      </c>
      <c r="AM10" s="226">
        <f>AO10+BI10</f>
        <v>5503.7400000000007</v>
      </c>
      <c r="AN10" s="226">
        <f>AQ10+AU10+AY10+BC10</f>
        <v>5395.7000000000007</v>
      </c>
      <c r="AO10" s="226">
        <f>AS10+AW10+BA10+BE10</f>
        <v>5395.7000000000007</v>
      </c>
      <c r="AP10" s="226">
        <v>26.5</v>
      </c>
      <c r="AQ10" s="226">
        <v>146.80000000000001</v>
      </c>
      <c r="AR10" s="226">
        <v>26.5</v>
      </c>
      <c r="AS10" s="226">
        <v>146.80000000000001</v>
      </c>
      <c r="AT10" s="226">
        <v>604.9</v>
      </c>
      <c r="AU10" s="226">
        <v>5085.8</v>
      </c>
      <c r="AV10" s="226">
        <v>604.9</v>
      </c>
      <c r="AW10" s="226">
        <v>5085.8</v>
      </c>
      <c r="AX10" s="226">
        <v>495.12</v>
      </c>
      <c r="AY10" s="226">
        <v>125.5</v>
      </c>
      <c r="AZ10" s="226">
        <v>495.12</v>
      </c>
      <c r="BA10" s="226">
        <v>125.5</v>
      </c>
      <c r="BB10" s="226">
        <v>483.1</v>
      </c>
      <c r="BC10" s="226">
        <v>37.6</v>
      </c>
      <c r="BD10" s="226">
        <v>483.1</v>
      </c>
      <c r="BE10" s="226">
        <v>37.6</v>
      </c>
      <c r="BF10" s="226">
        <v>11.36</v>
      </c>
      <c r="BG10" s="226">
        <v>108.04</v>
      </c>
      <c r="BH10" s="226">
        <v>11.36</v>
      </c>
      <c r="BI10" s="226">
        <v>108.04</v>
      </c>
    </row>
    <row r="11" spans="1:61" ht="60.75" customHeight="1" x14ac:dyDescent="0.25">
      <c r="A11" s="223" t="s">
        <v>663</v>
      </c>
      <c r="B11" s="224" t="s">
        <v>660</v>
      </c>
      <c r="C11" s="218">
        <v>800</v>
      </c>
      <c r="D11" s="218">
        <v>829</v>
      </c>
      <c r="E11" s="218">
        <v>200</v>
      </c>
      <c r="F11" s="218">
        <v>99</v>
      </c>
      <c r="G11" s="218">
        <v>829</v>
      </c>
      <c r="H11" s="218">
        <v>594</v>
      </c>
      <c r="I11" s="218">
        <v>95</v>
      </c>
      <c r="J11" s="218">
        <v>0</v>
      </c>
      <c r="K11" s="218">
        <v>130</v>
      </c>
      <c r="L11" s="218">
        <v>3</v>
      </c>
      <c r="M11" s="218">
        <v>7</v>
      </c>
      <c r="N11" s="218">
        <v>296</v>
      </c>
      <c r="O11" s="218">
        <v>208</v>
      </c>
      <c r="P11" s="218">
        <v>40</v>
      </c>
      <c r="Q11" s="218">
        <v>0</v>
      </c>
      <c r="R11" s="218">
        <v>48</v>
      </c>
      <c r="S11" s="218">
        <v>0</v>
      </c>
      <c r="T11" s="218">
        <v>0</v>
      </c>
      <c r="U11" s="218">
        <v>269</v>
      </c>
      <c r="V11" s="218">
        <v>180</v>
      </c>
      <c r="W11" s="218">
        <v>40</v>
      </c>
      <c r="X11" s="218">
        <v>0</v>
      </c>
      <c r="Y11" s="218">
        <v>47</v>
      </c>
      <c r="Z11" s="218">
        <v>2</v>
      </c>
      <c r="AA11" s="218">
        <v>0</v>
      </c>
      <c r="AB11" s="218">
        <v>162</v>
      </c>
      <c r="AC11" s="218">
        <v>102</v>
      </c>
      <c r="AD11" s="218">
        <v>11</v>
      </c>
      <c r="AE11" s="218">
        <v>9</v>
      </c>
      <c r="AF11" s="218">
        <v>90</v>
      </c>
      <c r="AG11" s="218">
        <v>41</v>
      </c>
      <c r="AH11" s="218">
        <v>90</v>
      </c>
      <c r="AI11" s="218">
        <v>41</v>
      </c>
      <c r="AJ11" s="218">
        <v>52</v>
      </c>
      <c r="AK11" s="218">
        <v>43</v>
      </c>
      <c r="AL11" s="226">
        <f>AN11+BG11</f>
        <v>25811.920000000002</v>
      </c>
      <c r="AM11" s="226">
        <f>AO11+BI11</f>
        <v>25811.920000000002</v>
      </c>
      <c r="AN11" s="226">
        <f>AQ11+AU11+AY11+BC11</f>
        <v>25629.65</v>
      </c>
      <c r="AO11" s="226">
        <f>AS11+AW11+BA11+BE11</f>
        <v>25629.65</v>
      </c>
      <c r="AP11" s="226">
        <v>617.02</v>
      </c>
      <c r="AQ11" s="226">
        <v>3217.09</v>
      </c>
      <c r="AR11" s="226">
        <v>617.02</v>
      </c>
      <c r="AS11" s="226">
        <v>3217.09</v>
      </c>
      <c r="AT11" s="226">
        <v>3259.72</v>
      </c>
      <c r="AU11" s="226">
        <v>10283.69</v>
      </c>
      <c r="AV11" s="226">
        <v>3259.72</v>
      </c>
      <c r="AW11" s="226">
        <v>10283.69</v>
      </c>
      <c r="AX11" s="226">
        <v>49292.88</v>
      </c>
      <c r="AY11" s="226">
        <v>8202.4500000000007</v>
      </c>
      <c r="AZ11" s="226">
        <v>49292.88</v>
      </c>
      <c r="BA11" s="226">
        <v>8202.4500000000007</v>
      </c>
      <c r="BB11" s="226">
        <v>49292.88</v>
      </c>
      <c r="BC11" s="226">
        <v>3926.42</v>
      </c>
      <c r="BD11" s="226">
        <v>49292.88</v>
      </c>
      <c r="BE11" s="226">
        <v>3926.42</v>
      </c>
      <c r="BF11" s="226">
        <v>19.2</v>
      </c>
      <c r="BG11" s="226">
        <v>182.27</v>
      </c>
      <c r="BH11" s="226">
        <v>19.2</v>
      </c>
      <c r="BI11" s="226">
        <v>182.27</v>
      </c>
    </row>
  </sheetData>
  <mergeCells count="61">
    <mergeCell ref="B2:AK2"/>
    <mergeCell ref="B3:AK3"/>
    <mergeCell ref="G5:G7"/>
    <mergeCell ref="F5:F7"/>
    <mergeCell ref="H5:I6"/>
    <mergeCell ref="J5:K6"/>
    <mergeCell ref="L5:M6"/>
    <mergeCell ref="N5:N7"/>
    <mergeCell ref="O5:P6"/>
    <mergeCell ref="Q5:R6"/>
    <mergeCell ref="S5:T6"/>
    <mergeCell ref="U5:U7"/>
    <mergeCell ref="V5:W6"/>
    <mergeCell ref="X5:Y6"/>
    <mergeCell ref="Z5:AA6"/>
    <mergeCell ref="AB5:AB7"/>
    <mergeCell ref="BF4:BI4"/>
    <mergeCell ref="AP5:AS5"/>
    <mergeCell ref="AT5:AW5"/>
    <mergeCell ref="AX5:BA5"/>
    <mergeCell ref="BB5:BE5"/>
    <mergeCell ref="BF5:BG5"/>
    <mergeCell ref="BH5:BI5"/>
    <mergeCell ref="AN4:BE4"/>
    <mergeCell ref="BF6:BF7"/>
    <mergeCell ref="BG6:BG7"/>
    <mergeCell ref="BH6:BH7"/>
    <mergeCell ref="BI6:BI7"/>
    <mergeCell ref="AZ6:BA6"/>
    <mergeCell ref="BB6:BC6"/>
    <mergeCell ref="BD6:BE6"/>
    <mergeCell ref="AP6:AQ6"/>
    <mergeCell ref="AR6:AS6"/>
    <mergeCell ref="AT6:AU6"/>
    <mergeCell ref="AV6:AW6"/>
    <mergeCell ref="AX6:AY6"/>
    <mergeCell ref="A4:A7"/>
    <mergeCell ref="B4:B7"/>
    <mergeCell ref="AN5:AO6"/>
    <mergeCell ref="AL4:AM6"/>
    <mergeCell ref="C4:D4"/>
    <mergeCell ref="E4:F4"/>
    <mergeCell ref="G4:M4"/>
    <mergeCell ref="N4:T4"/>
    <mergeCell ref="U4:AA4"/>
    <mergeCell ref="AB4:AC4"/>
    <mergeCell ref="AD4:AE4"/>
    <mergeCell ref="AF4:AI4"/>
    <mergeCell ref="AJ4:AK4"/>
    <mergeCell ref="C5:C7"/>
    <mergeCell ref="D5:D7"/>
    <mergeCell ref="E5:E7"/>
    <mergeCell ref="AJ5:AJ7"/>
    <mergeCell ref="AK5:AK7"/>
    <mergeCell ref="AF6:AF7"/>
    <mergeCell ref="AG6:AG7"/>
    <mergeCell ref="AC5:AC7"/>
    <mergeCell ref="AD5:AD7"/>
    <mergeCell ref="AE5:AE7"/>
    <mergeCell ref="AF5:AG5"/>
    <mergeCell ref="AH5:AI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</sheetPr>
  <dimension ref="A1:G126"/>
  <sheetViews>
    <sheetView tabSelected="1" zoomScaleNormal="100" workbookViewId="0">
      <selection activeCell="C10" sqref="C10"/>
    </sheetView>
  </sheetViews>
  <sheetFormatPr defaultRowHeight="15" x14ac:dyDescent="0.25"/>
  <cols>
    <col min="1" max="1" width="36.42578125" customWidth="1"/>
    <col min="2" max="2" width="14.42578125" customWidth="1"/>
    <col min="3" max="3" width="17" customWidth="1"/>
    <col min="4" max="4" width="13.42578125" customWidth="1"/>
    <col min="5" max="5" width="13" customWidth="1"/>
    <col min="6" max="6" width="15" customWidth="1"/>
    <col min="7" max="7" width="11.5703125" customWidth="1"/>
  </cols>
  <sheetData>
    <row r="1" spans="1:7" ht="18" customHeight="1" x14ac:dyDescent="0.25">
      <c r="A1" s="254" t="s">
        <v>23</v>
      </c>
      <c r="B1" s="254"/>
      <c r="C1" s="254"/>
      <c r="D1" s="254"/>
      <c r="E1" s="254"/>
      <c r="F1" s="254"/>
      <c r="G1" s="254"/>
    </row>
    <row r="2" spans="1:7" x14ac:dyDescent="0.25">
      <c r="A2" s="253" t="s">
        <v>24</v>
      </c>
      <c r="B2" s="253"/>
      <c r="C2" s="253"/>
      <c r="D2" s="253"/>
      <c r="E2" s="253"/>
      <c r="F2" s="253"/>
      <c r="G2" s="253"/>
    </row>
    <row r="3" spans="1:7" x14ac:dyDescent="0.25">
      <c r="A3" s="3" t="s">
        <v>897</v>
      </c>
      <c r="B3" s="3"/>
      <c r="C3" s="3"/>
      <c r="D3" s="3"/>
      <c r="E3" s="3"/>
      <c r="F3" s="3"/>
      <c r="G3" s="3"/>
    </row>
    <row r="4" spans="1:7" x14ac:dyDescent="0.25">
      <c r="A4" s="70" t="s">
        <v>587</v>
      </c>
      <c r="B4" s="3"/>
      <c r="C4" s="3"/>
      <c r="D4" s="3"/>
      <c r="E4" s="3"/>
      <c r="F4" s="3"/>
      <c r="G4" s="3"/>
    </row>
    <row r="5" spans="1:7" x14ac:dyDescent="0.25">
      <c r="A5" s="11"/>
      <c r="B5" s="11"/>
      <c r="C5" s="11"/>
      <c r="D5" s="11"/>
      <c r="E5" s="11"/>
      <c r="F5" s="11"/>
      <c r="G5" s="4" t="s">
        <v>2</v>
      </c>
    </row>
    <row r="6" spans="1:7" ht="78.75" x14ac:dyDescent="0.25">
      <c r="A6" s="296"/>
      <c r="B6" s="296" t="s">
        <v>26</v>
      </c>
      <c r="C6" s="296" t="s">
        <v>27</v>
      </c>
      <c r="D6" s="296" t="s">
        <v>28</v>
      </c>
      <c r="E6" s="296" t="s">
        <v>29</v>
      </c>
      <c r="F6" s="296" t="s">
        <v>30</v>
      </c>
      <c r="G6" s="296" t="s">
        <v>31</v>
      </c>
    </row>
    <row r="7" spans="1:7" x14ac:dyDescent="0.25">
      <c r="A7" s="12" t="s">
        <v>32</v>
      </c>
      <c r="B7" s="280">
        <f>B9+B13+B30+B53+B55+B60+B64+B68+B74+B77+B84+B88+B90+B98+B105+B108+B107+B113+B118+B122+B125</f>
        <v>22156</v>
      </c>
      <c r="C7" s="280">
        <f t="shared" ref="C7:F7" si="0">C9+C13+C30+C53+C55+C60+C64+C68+C74+C77+C84+C88+C90+C98+C105+C108+C107+C113+C118+C122+C125</f>
        <v>1006</v>
      </c>
      <c r="D7" s="280">
        <f t="shared" si="0"/>
        <v>0</v>
      </c>
      <c r="E7" s="280">
        <f t="shared" si="0"/>
        <v>190</v>
      </c>
      <c r="F7" s="280">
        <f t="shared" si="0"/>
        <v>0</v>
      </c>
      <c r="G7" s="280">
        <f>B7+C7+D7+E7</f>
        <v>23352</v>
      </c>
    </row>
    <row r="8" spans="1:7" x14ac:dyDescent="0.25">
      <c r="A8" s="5" t="s">
        <v>33</v>
      </c>
      <c r="B8" s="280"/>
      <c r="C8" s="280"/>
      <c r="D8" s="280"/>
      <c r="E8" s="280"/>
      <c r="F8" s="280"/>
      <c r="G8" s="280"/>
    </row>
    <row r="9" spans="1:7" ht="33.75" x14ac:dyDescent="0.25">
      <c r="A9" s="35" t="s">
        <v>270</v>
      </c>
      <c r="B9" s="280">
        <f>SUM(B10:B12)</f>
        <v>28</v>
      </c>
      <c r="C9" s="280">
        <f t="shared" ref="C9:F9" si="1">C10+C11+C12</f>
        <v>10</v>
      </c>
      <c r="D9" s="280">
        <f t="shared" si="1"/>
        <v>0</v>
      </c>
      <c r="E9" s="280">
        <f t="shared" si="1"/>
        <v>0</v>
      </c>
      <c r="F9" s="280">
        <f t="shared" si="1"/>
        <v>0</v>
      </c>
      <c r="G9" s="280">
        <f>B9+C9+D9+E9</f>
        <v>38</v>
      </c>
    </row>
    <row r="10" spans="1:7" ht="45" x14ac:dyDescent="0.25">
      <c r="A10" s="36" t="s">
        <v>271</v>
      </c>
      <c r="B10" s="280">
        <v>2</v>
      </c>
      <c r="C10" s="280">
        <v>2</v>
      </c>
      <c r="D10" s="280"/>
      <c r="E10" s="280"/>
      <c r="F10" s="280"/>
      <c r="G10" s="280">
        <f t="shared" ref="G10:G73" si="2">B10+C10+D10+E10</f>
        <v>4</v>
      </c>
    </row>
    <row r="11" spans="1:7" x14ac:dyDescent="0.25">
      <c r="A11" s="36" t="s">
        <v>272</v>
      </c>
      <c r="B11" s="280">
        <v>26</v>
      </c>
      <c r="C11" s="280">
        <v>4</v>
      </c>
      <c r="D11" s="280"/>
      <c r="E11" s="280"/>
      <c r="F11" s="280"/>
      <c r="G11" s="280">
        <f t="shared" si="2"/>
        <v>30</v>
      </c>
    </row>
    <row r="12" spans="1:7" x14ac:dyDescent="0.25">
      <c r="A12" s="37" t="s">
        <v>34</v>
      </c>
      <c r="B12" s="280"/>
      <c r="C12" s="280">
        <v>4</v>
      </c>
      <c r="D12" s="280"/>
      <c r="E12" s="280"/>
      <c r="F12" s="280"/>
      <c r="G12" s="280">
        <f t="shared" si="2"/>
        <v>4</v>
      </c>
    </row>
    <row r="13" spans="1:7" x14ac:dyDescent="0.25">
      <c r="A13" s="35" t="s">
        <v>35</v>
      </c>
      <c r="B13" s="280">
        <f>B14+B22</f>
        <v>3458</v>
      </c>
      <c r="C13" s="280">
        <f t="shared" ref="C13:F13" si="3">C14+C22</f>
        <v>0</v>
      </c>
      <c r="D13" s="280">
        <f t="shared" si="3"/>
        <v>0</v>
      </c>
      <c r="E13" s="280">
        <f t="shared" si="3"/>
        <v>0</v>
      </c>
      <c r="F13" s="280">
        <f t="shared" si="3"/>
        <v>0</v>
      </c>
      <c r="G13" s="280">
        <f t="shared" si="2"/>
        <v>3458</v>
      </c>
    </row>
    <row r="14" spans="1:7" ht="22.5" x14ac:dyDescent="0.25">
      <c r="A14" s="36" t="s">
        <v>36</v>
      </c>
      <c r="B14" s="280">
        <f>B15+B16</f>
        <v>611</v>
      </c>
      <c r="C14" s="280"/>
      <c r="D14" s="280"/>
      <c r="E14" s="280"/>
      <c r="F14" s="280"/>
      <c r="G14" s="280">
        <f t="shared" si="2"/>
        <v>611</v>
      </c>
    </row>
    <row r="15" spans="1:7" ht="22.5" x14ac:dyDescent="0.25">
      <c r="A15" s="38" t="s">
        <v>37</v>
      </c>
      <c r="B15" s="280"/>
      <c r="C15" s="280"/>
      <c r="D15" s="280"/>
      <c r="E15" s="280"/>
      <c r="F15" s="280"/>
      <c r="G15" s="280">
        <f t="shared" si="2"/>
        <v>0</v>
      </c>
    </row>
    <row r="16" spans="1:7" ht="45" x14ac:dyDescent="0.25">
      <c r="A16" s="39" t="s">
        <v>38</v>
      </c>
      <c r="B16" s="280">
        <f>B17+B21</f>
        <v>611</v>
      </c>
      <c r="C16" s="280"/>
      <c r="D16" s="280"/>
      <c r="E16" s="280"/>
      <c r="F16" s="280"/>
      <c r="G16" s="280">
        <f t="shared" si="2"/>
        <v>611</v>
      </c>
    </row>
    <row r="17" spans="1:7" ht="22.5" x14ac:dyDescent="0.25">
      <c r="A17" s="40" t="s">
        <v>39</v>
      </c>
      <c r="B17" s="280">
        <f>B18+B19+B20</f>
        <v>528</v>
      </c>
      <c r="C17" s="280"/>
      <c r="D17" s="280"/>
      <c r="E17" s="280"/>
      <c r="F17" s="280"/>
      <c r="G17" s="280">
        <f t="shared" si="2"/>
        <v>528</v>
      </c>
    </row>
    <row r="18" spans="1:7" ht="56.25" x14ac:dyDescent="0.25">
      <c r="A18" s="41" t="s">
        <v>40</v>
      </c>
      <c r="B18" s="280">
        <v>117</v>
      </c>
      <c r="C18" s="280"/>
      <c r="D18" s="280"/>
      <c r="E18" s="280"/>
      <c r="F18" s="280"/>
      <c r="G18" s="280">
        <f t="shared" si="2"/>
        <v>117</v>
      </c>
    </row>
    <row r="19" spans="1:7" ht="33.75" x14ac:dyDescent="0.25">
      <c r="A19" s="41" t="s">
        <v>273</v>
      </c>
      <c r="B19" s="280"/>
      <c r="C19" s="280"/>
      <c r="D19" s="280"/>
      <c r="E19" s="280"/>
      <c r="F19" s="280"/>
      <c r="G19" s="280">
        <f t="shared" si="2"/>
        <v>0</v>
      </c>
    </row>
    <row r="20" spans="1:7" ht="33.75" x14ac:dyDescent="0.25">
      <c r="A20" s="42" t="s">
        <v>274</v>
      </c>
      <c r="B20" s="280">
        <v>411</v>
      </c>
      <c r="C20" s="280"/>
      <c r="D20" s="280"/>
      <c r="E20" s="280"/>
      <c r="F20" s="280"/>
      <c r="G20" s="280">
        <f t="shared" si="2"/>
        <v>411</v>
      </c>
    </row>
    <row r="21" spans="1:7" ht="22.5" x14ac:dyDescent="0.25">
      <c r="A21" s="40" t="s">
        <v>41</v>
      </c>
      <c r="B21" s="280">
        <f>72+11</f>
        <v>83</v>
      </c>
      <c r="C21" s="280">
        <v>1</v>
      </c>
      <c r="D21" s="280"/>
      <c r="E21" s="280"/>
      <c r="F21" s="280"/>
      <c r="G21" s="280">
        <f t="shared" si="2"/>
        <v>84</v>
      </c>
    </row>
    <row r="22" spans="1:7" ht="22.5" x14ac:dyDescent="0.25">
      <c r="A22" s="36" t="s">
        <v>42</v>
      </c>
      <c r="B22" s="280">
        <f>B23+B27</f>
        <v>2847</v>
      </c>
      <c r="C22" s="280"/>
      <c r="D22" s="280"/>
      <c r="E22" s="280"/>
      <c r="F22" s="280"/>
      <c r="G22" s="280">
        <f t="shared" si="2"/>
        <v>2847</v>
      </c>
    </row>
    <row r="23" spans="1:7" x14ac:dyDescent="0.25">
      <c r="A23" s="39" t="s">
        <v>43</v>
      </c>
      <c r="B23" s="280">
        <f>B24+B25+B26</f>
        <v>0</v>
      </c>
      <c r="C23" s="280"/>
      <c r="D23" s="280"/>
      <c r="E23" s="280"/>
      <c r="F23" s="280"/>
      <c r="G23" s="280">
        <f t="shared" si="2"/>
        <v>0</v>
      </c>
    </row>
    <row r="24" spans="1:7" ht="45" x14ac:dyDescent="0.25">
      <c r="A24" s="40" t="s">
        <v>44</v>
      </c>
      <c r="B24" s="280"/>
      <c r="C24" s="280"/>
      <c r="D24" s="280"/>
      <c r="E24" s="280"/>
      <c r="F24" s="280"/>
      <c r="G24" s="280">
        <f t="shared" si="2"/>
        <v>0</v>
      </c>
    </row>
    <row r="25" spans="1:7" ht="22.5" x14ac:dyDescent="0.25">
      <c r="A25" s="40" t="s">
        <v>45</v>
      </c>
      <c r="B25" s="280"/>
      <c r="C25" s="280"/>
      <c r="D25" s="280"/>
      <c r="E25" s="280"/>
      <c r="F25" s="280"/>
      <c r="G25" s="280">
        <f t="shared" si="2"/>
        <v>0</v>
      </c>
    </row>
    <row r="26" spans="1:7" ht="33.75" x14ac:dyDescent="0.25">
      <c r="A26" s="40" t="s">
        <v>46</v>
      </c>
      <c r="B26" s="280"/>
      <c r="C26" s="280"/>
      <c r="D26" s="280"/>
      <c r="E26" s="280"/>
      <c r="F26" s="280"/>
      <c r="G26" s="280">
        <f t="shared" si="2"/>
        <v>0</v>
      </c>
    </row>
    <row r="27" spans="1:7" ht="22.5" x14ac:dyDescent="0.25">
      <c r="A27" s="38" t="s">
        <v>47</v>
      </c>
      <c r="B27" s="280">
        <f>B28+B29</f>
        <v>2847</v>
      </c>
      <c r="C27" s="280"/>
      <c r="D27" s="280"/>
      <c r="E27" s="280"/>
      <c r="F27" s="280"/>
      <c r="G27" s="280">
        <f t="shared" si="2"/>
        <v>2847</v>
      </c>
    </row>
    <row r="28" spans="1:7" ht="45" x14ac:dyDescent="0.25">
      <c r="A28" s="40" t="s">
        <v>48</v>
      </c>
      <c r="B28" s="280"/>
      <c r="C28" s="280"/>
      <c r="D28" s="280"/>
      <c r="E28" s="280"/>
      <c r="F28" s="280"/>
      <c r="G28" s="280">
        <f t="shared" si="2"/>
        <v>0</v>
      </c>
    </row>
    <row r="29" spans="1:7" x14ac:dyDescent="0.25">
      <c r="A29" s="40" t="s">
        <v>49</v>
      </c>
      <c r="B29" s="280">
        <f>2847</f>
        <v>2847</v>
      </c>
      <c r="C29" s="280"/>
      <c r="D29" s="280"/>
      <c r="E29" s="280"/>
      <c r="F29" s="280"/>
      <c r="G29" s="280">
        <f t="shared" si="2"/>
        <v>2847</v>
      </c>
    </row>
    <row r="30" spans="1:7" x14ac:dyDescent="0.25">
      <c r="A30" s="43" t="s">
        <v>50</v>
      </c>
      <c r="B30" s="280">
        <f>SUM(B31:B52)</f>
        <v>199</v>
      </c>
      <c r="C30" s="280">
        <f t="shared" ref="C30:F30" si="4">SUM(C31:C52)</f>
        <v>62</v>
      </c>
      <c r="D30" s="280">
        <f t="shared" si="4"/>
        <v>0</v>
      </c>
      <c r="E30" s="280">
        <f t="shared" si="4"/>
        <v>12</v>
      </c>
      <c r="F30" s="280">
        <f t="shared" si="4"/>
        <v>0</v>
      </c>
      <c r="G30" s="280">
        <f t="shared" si="2"/>
        <v>273</v>
      </c>
    </row>
    <row r="31" spans="1:7" x14ac:dyDescent="0.25">
      <c r="A31" s="44" t="s">
        <v>276</v>
      </c>
      <c r="B31" s="280">
        <f>36+53</f>
        <v>89</v>
      </c>
      <c r="C31" s="280">
        <v>18</v>
      </c>
      <c r="D31" s="280"/>
      <c r="E31" s="280">
        <v>2</v>
      </c>
      <c r="F31" s="280"/>
      <c r="G31" s="280">
        <f t="shared" si="2"/>
        <v>109</v>
      </c>
    </row>
    <row r="32" spans="1:7" x14ac:dyDescent="0.25">
      <c r="A32" s="44" t="s">
        <v>277</v>
      </c>
      <c r="B32" s="280">
        <v>3</v>
      </c>
      <c r="C32" s="280">
        <v>2</v>
      </c>
      <c r="D32" s="280"/>
      <c r="E32" s="280"/>
      <c r="F32" s="280"/>
      <c r="G32" s="280">
        <f t="shared" si="2"/>
        <v>5</v>
      </c>
    </row>
    <row r="33" spans="1:7" ht="23.25" customHeight="1" x14ac:dyDescent="0.25">
      <c r="A33" s="44" t="s">
        <v>278</v>
      </c>
      <c r="B33" s="280"/>
      <c r="C33" s="280">
        <v>1</v>
      </c>
      <c r="D33" s="280"/>
      <c r="E33" s="280"/>
      <c r="F33" s="280"/>
      <c r="G33" s="280">
        <f t="shared" si="2"/>
        <v>1</v>
      </c>
    </row>
    <row r="34" spans="1:7" x14ac:dyDescent="0.25">
      <c r="A34" s="44" t="s">
        <v>279</v>
      </c>
      <c r="B34" s="280"/>
      <c r="C34" s="280">
        <v>2</v>
      </c>
      <c r="D34" s="280"/>
      <c r="E34" s="280"/>
      <c r="F34" s="280"/>
      <c r="G34" s="280">
        <f t="shared" si="2"/>
        <v>2</v>
      </c>
    </row>
    <row r="35" spans="1:7" ht="22.5" x14ac:dyDescent="0.25">
      <c r="A35" s="44" t="s">
        <v>280</v>
      </c>
      <c r="B35" s="280"/>
      <c r="C35" s="280"/>
      <c r="D35" s="280"/>
      <c r="E35" s="280"/>
      <c r="F35" s="280"/>
      <c r="G35" s="280">
        <f t="shared" si="2"/>
        <v>0</v>
      </c>
    </row>
    <row r="36" spans="1:7" ht="56.25" x14ac:dyDescent="0.25">
      <c r="A36" s="44" t="s">
        <v>281</v>
      </c>
      <c r="B36" s="280"/>
      <c r="C36" s="280">
        <v>10</v>
      </c>
      <c r="D36" s="280"/>
      <c r="E36" s="280"/>
      <c r="F36" s="280"/>
      <c r="G36" s="280">
        <f t="shared" si="2"/>
        <v>10</v>
      </c>
    </row>
    <row r="37" spans="1:7" ht="22.5" x14ac:dyDescent="0.25">
      <c r="A37" s="44" t="s">
        <v>282</v>
      </c>
      <c r="B37" s="280"/>
      <c r="C37" s="280"/>
      <c r="D37" s="280"/>
      <c r="E37" s="280"/>
      <c r="F37" s="280"/>
      <c r="G37" s="280">
        <f t="shared" si="2"/>
        <v>0</v>
      </c>
    </row>
    <row r="38" spans="1:7" ht="33.75" x14ac:dyDescent="0.25">
      <c r="A38" s="44" t="s">
        <v>283</v>
      </c>
      <c r="B38" s="280">
        <v>17</v>
      </c>
      <c r="C38" s="280">
        <v>3</v>
      </c>
      <c r="D38" s="280"/>
      <c r="E38" s="280">
        <v>8</v>
      </c>
      <c r="F38" s="280"/>
      <c r="G38" s="280">
        <f t="shared" si="2"/>
        <v>28</v>
      </c>
    </row>
    <row r="39" spans="1:7" ht="22.5" x14ac:dyDescent="0.25">
      <c r="A39" s="44" t="s">
        <v>284</v>
      </c>
      <c r="B39" s="280"/>
      <c r="C39" s="280"/>
      <c r="D39" s="280"/>
      <c r="E39" s="280"/>
      <c r="F39" s="280"/>
      <c r="G39" s="280">
        <f t="shared" si="2"/>
        <v>0</v>
      </c>
    </row>
    <row r="40" spans="1:7" ht="22.5" x14ac:dyDescent="0.25">
      <c r="A40" s="44" t="s">
        <v>285</v>
      </c>
      <c r="B40" s="280"/>
      <c r="C40" s="280"/>
      <c r="D40" s="280"/>
      <c r="E40" s="280"/>
      <c r="F40" s="280"/>
      <c r="G40" s="280">
        <f t="shared" si="2"/>
        <v>0</v>
      </c>
    </row>
    <row r="41" spans="1:7" ht="33.75" x14ac:dyDescent="0.25">
      <c r="A41" s="44" t="s">
        <v>286</v>
      </c>
      <c r="B41" s="280"/>
      <c r="C41" s="280"/>
      <c r="D41" s="280"/>
      <c r="E41" s="280"/>
      <c r="F41" s="280"/>
      <c r="G41" s="280">
        <f t="shared" si="2"/>
        <v>0</v>
      </c>
    </row>
    <row r="42" spans="1:7" ht="22.5" x14ac:dyDescent="0.25">
      <c r="A42" s="44" t="s">
        <v>51</v>
      </c>
      <c r="B42" s="280"/>
      <c r="C42" s="280">
        <v>2</v>
      </c>
      <c r="D42" s="280"/>
      <c r="E42" s="280"/>
      <c r="F42" s="280"/>
      <c r="G42" s="280">
        <f t="shared" si="2"/>
        <v>2</v>
      </c>
    </row>
    <row r="43" spans="1:7" ht="33.75" x14ac:dyDescent="0.25">
      <c r="A43" s="44" t="s">
        <v>287</v>
      </c>
      <c r="B43" s="280"/>
      <c r="C43" s="280">
        <v>2</v>
      </c>
      <c r="D43" s="280"/>
      <c r="E43" s="280"/>
      <c r="F43" s="280"/>
      <c r="G43" s="280">
        <f t="shared" si="2"/>
        <v>2</v>
      </c>
    </row>
    <row r="44" spans="1:7" x14ac:dyDescent="0.25">
      <c r="A44" s="44" t="s">
        <v>288</v>
      </c>
      <c r="B44" s="280"/>
      <c r="C44" s="280">
        <v>1</v>
      </c>
      <c r="D44" s="280"/>
      <c r="E44" s="280"/>
      <c r="F44" s="280"/>
      <c r="G44" s="280">
        <f t="shared" si="2"/>
        <v>1</v>
      </c>
    </row>
    <row r="45" spans="1:7" ht="33.75" x14ac:dyDescent="0.25">
      <c r="A45" s="44" t="s">
        <v>289</v>
      </c>
      <c r="B45" s="280"/>
      <c r="C45" s="280">
        <v>3</v>
      </c>
      <c r="D45" s="280"/>
      <c r="E45" s="280"/>
      <c r="F45" s="280"/>
      <c r="G45" s="280">
        <f t="shared" si="2"/>
        <v>3</v>
      </c>
    </row>
    <row r="46" spans="1:7" ht="39" customHeight="1" x14ac:dyDescent="0.25">
      <c r="A46" s="44" t="s">
        <v>290</v>
      </c>
      <c r="B46" s="280">
        <v>1</v>
      </c>
      <c r="C46" s="280">
        <v>1</v>
      </c>
      <c r="D46" s="280"/>
      <c r="E46" s="280"/>
      <c r="F46" s="280"/>
      <c r="G46" s="280">
        <f t="shared" si="2"/>
        <v>2</v>
      </c>
    </row>
    <row r="47" spans="1:7" ht="22.5" x14ac:dyDescent="0.25">
      <c r="A47" s="44" t="s">
        <v>291</v>
      </c>
      <c r="B47" s="280"/>
      <c r="C47" s="280"/>
      <c r="D47" s="280"/>
      <c r="E47" s="280"/>
      <c r="F47" s="280"/>
      <c r="G47" s="280">
        <f t="shared" si="2"/>
        <v>0</v>
      </c>
    </row>
    <row r="48" spans="1:7" ht="33.75" x14ac:dyDescent="0.25">
      <c r="A48" s="44" t="s">
        <v>292</v>
      </c>
      <c r="B48" s="280"/>
      <c r="C48" s="280"/>
      <c r="D48" s="280"/>
      <c r="E48" s="280"/>
      <c r="F48" s="280"/>
      <c r="G48" s="280">
        <f t="shared" si="2"/>
        <v>0</v>
      </c>
    </row>
    <row r="49" spans="1:7" ht="22.5" x14ac:dyDescent="0.25">
      <c r="A49" s="44" t="s">
        <v>293</v>
      </c>
      <c r="B49" s="280"/>
      <c r="C49" s="280"/>
      <c r="D49" s="280"/>
      <c r="E49" s="280"/>
      <c r="F49" s="280"/>
      <c r="G49" s="280">
        <f t="shared" si="2"/>
        <v>0</v>
      </c>
    </row>
    <row r="50" spans="1:7" ht="22.5" x14ac:dyDescent="0.25">
      <c r="A50" s="44" t="s">
        <v>294</v>
      </c>
      <c r="B50" s="280"/>
      <c r="C50" s="280"/>
      <c r="D50" s="280"/>
      <c r="E50" s="280"/>
      <c r="F50" s="280"/>
      <c r="G50" s="280">
        <f t="shared" si="2"/>
        <v>0</v>
      </c>
    </row>
    <row r="51" spans="1:7" ht="22.5" x14ac:dyDescent="0.25">
      <c r="A51" s="44" t="s">
        <v>295</v>
      </c>
      <c r="B51" s="280">
        <v>31</v>
      </c>
      <c r="C51" s="280">
        <v>12</v>
      </c>
      <c r="D51" s="280"/>
      <c r="E51" s="280"/>
      <c r="F51" s="280"/>
      <c r="G51" s="280">
        <f t="shared" si="2"/>
        <v>43</v>
      </c>
    </row>
    <row r="52" spans="1:7" ht="22.5" x14ac:dyDescent="0.25">
      <c r="A52" s="44" t="s">
        <v>296</v>
      </c>
      <c r="B52" s="280">
        <f>24+34</f>
        <v>58</v>
      </c>
      <c r="C52" s="280">
        <v>5</v>
      </c>
      <c r="D52" s="280"/>
      <c r="E52" s="280">
        <v>2</v>
      </c>
      <c r="F52" s="280"/>
      <c r="G52" s="280">
        <f t="shared" si="2"/>
        <v>65</v>
      </c>
    </row>
    <row r="53" spans="1:7" ht="33.75" x14ac:dyDescent="0.25">
      <c r="A53" s="43" t="s">
        <v>275</v>
      </c>
      <c r="B53" s="280">
        <f>B54</f>
        <v>1134</v>
      </c>
      <c r="C53" s="280">
        <f t="shared" ref="C53:F53" si="5">C54</f>
        <v>0</v>
      </c>
      <c r="D53" s="280">
        <f t="shared" si="5"/>
        <v>0</v>
      </c>
      <c r="E53" s="280">
        <f t="shared" si="5"/>
        <v>0</v>
      </c>
      <c r="F53" s="280">
        <f t="shared" si="5"/>
        <v>0</v>
      </c>
      <c r="G53" s="280">
        <f t="shared" si="2"/>
        <v>1134</v>
      </c>
    </row>
    <row r="54" spans="1:7" ht="33.75" x14ac:dyDescent="0.25">
      <c r="A54" s="44" t="s">
        <v>297</v>
      </c>
      <c r="B54" s="280">
        <v>1134</v>
      </c>
      <c r="C54" s="280"/>
      <c r="D54" s="280"/>
      <c r="E54" s="280"/>
      <c r="F54" s="280"/>
      <c r="G54" s="280">
        <f t="shared" si="2"/>
        <v>1134</v>
      </c>
    </row>
    <row r="55" spans="1:7" ht="45" x14ac:dyDescent="0.25">
      <c r="A55" s="43" t="s">
        <v>298</v>
      </c>
      <c r="B55" s="280">
        <f>B56+B57+B58+B59</f>
        <v>35</v>
      </c>
      <c r="C55" s="280">
        <f t="shared" ref="C55:F55" si="6">C58</f>
        <v>0</v>
      </c>
      <c r="D55" s="280">
        <f t="shared" si="6"/>
        <v>0</v>
      </c>
      <c r="E55" s="280">
        <f t="shared" si="6"/>
        <v>0</v>
      </c>
      <c r="F55" s="280">
        <f t="shared" si="6"/>
        <v>0</v>
      </c>
      <c r="G55" s="280">
        <f t="shared" si="2"/>
        <v>35</v>
      </c>
    </row>
    <row r="56" spans="1:7" ht="22.5" x14ac:dyDescent="0.25">
      <c r="A56" s="39" t="s">
        <v>299</v>
      </c>
      <c r="B56" s="280"/>
      <c r="C56" s="280"/>
      <c r="D56" s="280"/>
      <c r="E56" s="280"/>
      <c r="F56" s="280"/>
      <c r="G56" s="280">
        <f t="shared" si="2"/>
        <v>0</v>
      </c>
    </row>
    <row r="57" spans="1:7" x14ac:dyDescent="0.25">
      <c r="A57" s="39" t="s">
        <v>300</v>
      </c>
      <c r="B57" s="280"/>
      <c r="C57" s="280"/>
      <c r="D57" s="280"/>
      <c r="E57" s="280"/>
      <c r="F57" s="280"/>
      <c r="G57" s="280">
        <f t="shared" si="2"/>
        <v>0</v>
      </c>
    </row>
    <row r="58" spans="1:7" ht="33.75" x14ac:dyDescent="0.25">
      <c r="A58" s="44" t="s">
        <v>301</v>
      </c>
      <c r="B58" s="280">
        <f>25+10</f>
        <v>35</v>
      </c>
      <c r="C58" s="280"/>
      <c r="D58" s="280"/>
      <c r="E58" s="280"/>
      <c r="F58" s="280"/>
      <c r="G58" s="280">
        <f t="shared" si="2"/>
        <v>35</v>
      </c>
    </row>
    <row r="59" spans="1:7" ht="45" x14ac:dyDescent="0.25">
      <c r="A59" s="44" t="s">
        <v>302</v>
      </c>
      <c r="B59" s="280"/>
      <c r="C59" s="280"/>
      <c r="D59" s="280"/>
      <c r="E59" s="280"/>
      <c r="F59" s="280"/>
      <c r="G59" s="280">
        <f t="shared" si="2"/>
        <v>0</v>
      </c>
    </row>
    <row r="60" spans="1:7" x14ac:dyDescent="0.25">
      <c r="A60" s="35" t="s">
        <v>52</v>
      </c>
      <c r="B60" s="280">
        <f>B61+B62+B63</f>
        <v>4735</v>
      </c>
      <c r="C60" s="280">
        <f t="shared" ref="C60:F60" si="7">C61+C62+C63</f>
        <v>98</v>
      </c>
      <c r="D60" s="280">
        <f t="shared" si="7"/>
        <v>0</v>
      </c>
      <c r="E60" s="280">
        <f t="shared" si="7"/>
        <v>102</v>
      </c>
      <c r="F60" s="280">
        <f t="shared" si="7"/>
        <v>0</v>
      </c>
      <c r="G60" s="280">
        <f t="shared" si="2"/>
        <v>4935</v>
      </c>
    </row>
    <row r="61" spans="1:7" x14ac:dyDescent="0.25">
      <c r="A61" s="37" t="s">
        <v>303</v>
      </c>
      <c r="B61" s="280">
        <f>1033+54</f>
        <v>1087</v>
      </c>
      <c r="C61" s="280">
        <v>98</v>
      </c>
      <c r="D61" s="280"/>
      <c r="E61" s="280">
        <v>60</v>
      </c>
      <c r="F61" s="280"/>
      <c r="G61" s="280">
        <f t="shared" si="2"/>
        <v>1245</v>
      </c>
    </row>
    <row r="62" spans="1:7" ht="22.5" x14ac:dyDescent="0.25">
      <c r="A62" s="37" t="s">
        <v>304</v>
      </c>
      <c r="B62" s="280">
        <f>708+43</f>
        <v>751</v>
      </c>
      <c r="C62" s="280"/>
      <c r="D62" s="280"/>
      <c r="E62" s="280"/>
      <c r="F62" s="280"/>
      <c r="G62" s="280">
        <f t="shared" si="2"/>
        <v>751</v>
      </c>
    </row>
    <row r="63" spans="1:7" ht="22.5" x14ac:dyDescent="0.25">
      <c r="A63" s="37" t="s">
        <v>305</v>
      </c>
      <c r="B63" s="280">
        <f>2762+135</f>
        <v>2897</v>
      </c>
      <c r="C63" s="280"/>
      <c r="D63" s="280"/>
      <c r="E63" s="280">
        <v>42</v>
      </c>
      <c r="F63" s="280"/>
      <c r="G63" s="280">
        <f t="shared" si="2"/>
        <v>2939</v>
      </c>
    </row>
    <row r="64" spans="1:7" ht="33.75" x14ac:dyDescent="0.25">
      <c r="A64" s="43" t="s">
        <v>306</v>
      </c>
      <c r="B64" s="280">
        <f>B66+B65+B67</f>
        <v>729</v>
      </c>
      <c r="C64" s="280">
        <f t="shared" ref="C64:F64" si="8">C66+C65+C67</f>
        <v>370</v>
      </c>
      <c r="D64" s="280">
        <f t="shared" si="8"/>
        <v>0</v>
      </c>
      <c r="E64" s="280">
        <f t="shared" si="8"/>
        <v>4</v>
      </c>
      <c r="F64" s="280">
        <f t="shared" si="8"/>
        <v>0</v>
      </c>
      <c r="G64" s="280">
        <f t="shared" si="2"/>
        <v>1103</v>
      </c>
    </row>
    <row r="65" spans="1:7" ht="33.75" x14ac:dyDescent="0.25">
      <c r="A65" s="44" t="s">
        <v>307</v>
      </c>
      <c r="B65" s="280">
        <v>26</v>
      </c>
      <c r="C65" s="280">
        <v>41</v>
      </c>
      <c r="D65" s="280"/>
      <c r="E65" s="280"/>
      <c r="F65" s="280"/>
      <c r="G65" s="280">
        <f t="shared" si="2"/>
        <v>67</v>
      </c>
    </row>
    <row r="66" spans="1:7" ht="33.75" x14ac:dyDescent="0.25">
      <c r="A66" s="44" t="s">
        <v>308</v>
      </c>
      <c r="B66" s="280">
        <f>318+24</f>
        <v>342</v>
      </c>
      <c r="C66" s="280">
        <v>28</v>
      </c>
      <c r="D66" s="280"/>
      <c r="E66" s="280"/>
      <c r="F66" s="280"/>
      <c r="G66" s="280">
        <f t="shared" si="2"/>
        <v>370</v>
      </c>
    </row>
    <row r="67" spans="1:7" ht="33.75" x14ac:dyDescent="0.25">
      <c r="A67" s="44" t="s">
        <v>309</v>
      </c>
      <c r="B67" s="280">
        <f>39+322</f>
        <v>361</v>
      </c>
      <c r="C67" s="280">
        <v>301</v>
      </c>
      <c r="D67" s="280"/>
      <c r="E67" s="280">
        <v>4</v>
      </c>
      <c r="F67" s="280"/>
      <c r="G67" s="280">
        <f t="shared" si="2"/>
        <v>666</v>
      </c>
    </row>
    <row r="68" spans="1:7" x14ac:dyDescent="0.25">
      <c r="A68" s="35" t="s">
        <v>310</v>
      </c>
      <c r="B68" s="280">
        <f>B69+B71+B72+B73+B70</f>
        <v>2628</v>
      </c>
      <c r="C68" s="280">
        <f t="shared" ref="C68:F68" si="9">C69+C71+C72+C73</f>
        <v>170</v>
      </c>
      <c r="D68" s="280">
        <f t="shared" si="9"/>
        <v>0</v>
      </c>
      <c r="E68" s="280">
        <f t="shared" si="9"/>
        <v>8</v>
      </c>
      <c r="F68" s="280">
        <f t="shared" si="9"/>
        <v>0</v>
      </c>
      <c r="G68" s="280">
        <f t="shared" si="2"/>
        <v>2806</v>
      </c>
    </row>
    <row r="69" spans="1:7" ht="22.5" x14ac:dyDescent="0.25">
      <c r="A69" s="39" t="s">
        <v>311</v>
      </c>
      <c r="B69" s="280">
        <v>703</v>
      </c>
      <c r="C69" s="280">
        <v>106</v>
      </c>
      <c r="D69" s="280"/>
      <c r="E69" s="280"/>
      <c r="F69" s="280"/>
      <c r="G69" s="280">
        <f t="shared" si="2"/>
        <v>809</v>
      </c>
    </row>
    <row r="70" spans="1:7" ht="22.5" x14ac:dyDescent="0.25">
      <c r="A70" s="39" t="s">
        <v>53</v>
      </c>
      <c r="B70" s="280"/>
      <c r="C70" s="280"/>
      <c r="D70" s="280"/>
      <c r="E70" s="280"/>
      <c r="F70" s="280"/>
      <c r="G70" s="280">
        <f t="shared" si="2"/>
        <v>0</v>
      </c>
    </row>
    <row r="71" spans="1:7" ht="22.5" x14ac:dyDescent="0.25">
      <c r="A71" s="39" t="s">
        <v>312</v>
      </c>
      <c r="B71" s="280">
        <v>1054</v>
      </c>
      <c r="C71" s="280"/>
      <c r="D71" s="280"/>
      <c r="E71" s="280"/>
      <c r="F71" s="280"/>
      <c r="G71" s="280">
        <f t="shared" si="2"/>
        <v>1054</v>
      </c>
    </row>
    <row r="72" spans="1:7" ht="33.75" x14ac:dyDescent="0.25">
      <c r="A72" s="39" t="s">
        <v>313</v>
      </c>
      <c r="B72" s="280">
        <f>675+4</f>
        <v>679</v>
      </c>
      <c r="C72" s="280">
        <v>61</v>
      </c>
      <c r="D72" s="280"/>
      <c r="E72" s="280">
        <v>8</v>
      </c>
      <c r="F72" s="280"/>
      <c r="G72" s="280">
        <f t="shared" si="2"/>
        <v>748</v>
      </c>
    </row>
    <row r="73" spans="1:7" ht="22.5" x14ac:dyDescent="0.25">
      <c r="A73" s="39" t="s">
        <v>314</v>
      </c>
      <c r="B73" s="280">
        <v>192</v>
      </c>
      <c r="C73" s="280">
        <v>3</v>
      </c>
      <c r="D73" s="280"/>
      <c r="E73" s="280"/>
      <c r="F73" s="280"/>
      <c r="G73" s="280">
        <f t="shared" si="2"/>
        <v>195</v>
      </c>
    </row>
    <row r="74" spans="1:7" ht="33.75" x14ac:dyDescent="0.25">
      <c r="A74" s="43" t="s">
        <v>315</v>
      </c>
      <c r="B74" s="280">
        <f>B75+B76</f>
        <v>67</v>
      </c>
      <c r="C74" s="280">
        <f t="shared" ref="C74:F74" si="10">C75+C76</f>
        <v>47</v>
      </c>
      <c r="D74" s="280">
        <f t="shared" si="10"/>
        <v>0</v>
      </c>
      <c r="E74" s="280">
        <f t="shared" si="10"/>
        <v>4</v>
      </c>
      <c r="F74" s="280">
        <f t="shared" si="10"/>
        <v>0</v>
      </c>
      <c r="G74" s="280">
        <f t="shared" ref="G74:G126" si="11">B74+C74+D74+E74</f>
        <v>118</v>
      </c>
    </row>
    <row r="75" spans="1:7" ht="33.75" x14ac:dyDescent="0.25">
      <c r="A75" s="39" t="s">
        <v>316</v>
      </c>
      <c r="B75" s="280">
        <v>1</v>
      </c>
      <c r="C75" s="280">
        <v>16</v>
      </c>
      <c r="D75" s="280"/>
      <c r="E75" s="280"/>
      <c r="F75" s="280"/>
      <c r="G75" s="280">
        <f t="shared" si="11"/>
        <v>17</v>
      </c>
    </row>
    <row r="76" spans="1:7" ht="33.75" x14ac:dyDescent="0.25">
      <c r="A76" s="39" t="s">
        <v>317</v>
      </c>
      <c r="B76" s="280">
        <v>66</v>
      </c>
      <c r="C76" s="280">
        <v>31</v>
      </c>
      <c r="D76" s="280"/>
      <c r="E76" s="280">
        <v>4</v>
      </c>
      <c r="F76" s="280"/>
      <c r="G76" s="280">
        <f t="shared" si="11"/>
        <v>101</v>
      </c>
    </row>
    <row r="77" spans="1:7" ht="22.5" x14ac:dyDescent="0.25">
      <c r="A77" s="43" t="s">
        <v>318</v>
      </c>
      <c r="B77" s="280">
        <f>B78+B82</f>
        <v>655</v>
      </c>
      <c r="C77" s="280">
        <f t="shared" ref="C77:F77" si="12">C78+C82</f>
        <v>0</v>
      </c>
      <c r="D77" s="280">
        <f t="shared" si="12"/>
        <v>0</v>
      </c>
      <c r="E77" s="280">
        <f t="shared" si="12"/>
        <v>2</v>
      </c>
      <c r="F77" s="280">
        <f t="shared" si="12"/>
        <v>0</v>
      </c>
      <c r="G77" s="280">
        <f t="shared" si="11"/>
        <v>657</v>
      </c>
    </row>
    <row r="78" spans="1:7" x14ac:dyDescent="0.25">
      <c r="A78" s="44" t="s">
        <v>319</v>
      </c>
      <c r="B78" s="280">
        <f>B80+B81+16+B79</f>
        <v>653</v>
      </c>
      <c r="C78" s="280">
        <f>C79+C80+C81</f>
        <v>0</v>
      </c>
      <c r="D78" s="280">
        <f t="shared" ref="D78:F78" si="13">D79+D80+D81</f>
        <v>0</v>
      </c>
      <c r="E78" s="280">
        <f t="shared" si="13"/>
        <v>2</v>
      </c>
      <c r="F78" s="280">
        <f t="shared" si="13"/>
        <v>0</v>
      </c>
      <c r="G78" s="280">
        <f t="shared" si="11"/>
        <v>655</v>
      </c>
    </row>
    <row r="79" spans="1:7" ht="45" x14ac:dyDescent="0.25">
      <c r="A79" s="39" t="s">
        <v>320</v>
      </c>
      <c r="B79" s="280">
        <v>2</v>
      </c>
      <c r="C79" s="280"/>
      <c r="D79" s="280"/>
      <c r="E79" s="280"/>
      <c r="F79" s="280"/>
      <c r="G79" s="280">
        <f t="shared" si="11"/>
        <v>2</v>
      </c>
    </row>
    <row r="80" spans="1:7" ht="22.5" x14ac:dyDescent="0.25">
      <c r="A80" s="39" t="s">
        <v>321</v>
      </c>
      <c r="B80" s="280">
        <v>75</v>
      </c>
      <c r="C80" s="280"/>
      <c r="D80" s="280"/>
      <c r="E80" s="280"/>
      <c r="F80" s="280"/>
      <c r="G80" s="280">
        <f t="shared" si="11"/>
        <v>75</v>
      </c>
    </row>
    <row r="81" spans="1:7" ht="22.5" x14ac:dyDescent="0.25">
      <c r="A81" s="39" t="s">
        <v>322</v>
      </c>
      <c r="B81" s="280">
        <f>547+13</f>
        <v>560</v>
      </c>
      <c r="C81" s="280"/>
      <c r="D81" s="280"/>
      <c r="E81" s="280">
        <v>2</v>
      </c>
      <c r="F81" s="280"/>
      <c r="G81" s="280">
        <f t="shared" si="11"/>
        <v>562</v>
      </c>
    </row>
    <row r="82" spans="1:7" ht="56.25" x14ac:dyDescent="0.25">
      <c r="A82" s="44" t="s">
        <v>323</v>
      </c>
      <c r="B82" s="280">
        <v>2</v>
      </c>
      <c r="C82" s="280"/>
      <c r="D82" s="280"/>
      <c r="E82" s="280"/>
      <c r="F82" s="280"/>
      <c r="G82" s="280">
        <f t="shared" si="11"/>
        <v>2</v>
      </c>
    </row>
    <row r="83" spans="1:7" ht="22.5" x14ac:dyDescent="0.25">
      <c r="A83" s="39" t="s">
        <v>324</v>
      </c>
      <c r="B83" s="280"/>
      <c r="C83" s="280"/>
      <c r="D83" s="280"/>
      <c r="E83" s="280"/>
      <c r="F83" s="280"/>
      <c r="G83" s="280">
        <f t="shared" si="11"/>
        <v>0</v>
      </c>
    </row>
    <row r="84" spans="1:7" ht="22.5" x14ac:dyDescent="0.25">
      <c r="A84" s="43" t="s">
        <v>325</v>
      </c>
      <c r="B84" s="280">
        <f>B85+B86+B87</f>
        <v>199</v>
      </c>
      <c r="C84" s="280">
        <f t="shared" ref="C84:F84" si="14">C85+C86</f>
        <v>1</v>
      </c>
      <c r="D84" s="280">
        <f t="shared" si="14"/>
        <v>0</v>
      </c>
      <c r="E84" s="280">
        <f t="shared" si="14"/>
        <v>0</v>
      </c>
      <c r="F84" s="280">
        <f t="shared" si="14"/>
        <v>0</v>
      </c>
      <c r="G84" s="280">
        <f t="shared" si="11"/>
        <v>200</v>
      </c>
    </row>
    <row r="85" spans="1:7" ht="56.25" x14ac:dyDescent="0.25">
      <c r="A85" s="39" t="s">
        <v>326</v>
      </c>
      <c r="B85" s="280">
        <f>111+6</f>
        <v>117</v>
      </c>
      <c r="C85" s="280">
        <v>1</v>
      </c>
      <c r="D85" s="280"/>
      <c r="E85" s="280"/>
      <c r="F85" s="280"/>
      <c r="G85" s="280">
        <f t="shared" si="11"/>
        <v>118</v>
      </c>
    </row>
    <row r="86" spans="1:7" ht="56.25" x14ac:dyDescent="0.25">
      <c r="A86" s="39" t="s">
        <v>327</v>
      </c>
      <c r="B86" s="280">
        <v>82</v>
      </c>
      <c r="C86" s="280"/>
      <c r="D86" s="280"/>
      <c r="E86" s="280"/>
      <c r="F86" s="280"/>
      <c r="G86" s="280">
        <f t="shared" si="11"/>
        <v>82</v>
      </c>
    </row>
    <row r="87" spans="1:7" ht="33.75" x14ac:dyDescent="0.25">
      <c r="A87" s="39" t="s">
        <v>328</v>
      </c>
      <c r="B87" s="280"/>
      <c r="C87" s="280"/>
      <c r="D87" s="280"/>
      <c r="E87" s="280"/>
      <c r="F87" s="280"/>
      <c r="G87" s="280">
        <f t="shared" si="11"/>
        <v>0</v>
      </c>
    </row>
    <row r="88" spans="1:7" ht="22.5" x14ac:dyDescent="0.25">
      <c r="A88" s="43" t="s">
        <v>329</v>
      </c>
      <c r="B88" s="280">
        <f>B89</f>
        <v>99</v>
      </c>
      <c r="C88" s="280">
        <f t="shared" ref="C88:F88" si="15">C89</f>
        <v>31</v>
      </c>
      <c r="D88" s="280">
        <f t="shared" si="15"/>
        <v>0</v>
      </c>
      <c r="E88" s="280">
        <f t="shared" si="15"/>
        <v>36</v>
      </c>
      <c r="F88" s="280">
        <f t="shared" si="15"/>
        <v>0</v>
      </c>
      <c r="G88" s="280">
        <f t="shared" si="11"/>
        <v>166</v>
      </c>
    </row>
    <row r="89" spans="1:7" ht="22.5" x14ac:dyDescent="0.25">
      <c r="A89" s="36" t="s">
        <v>54</v>
      </c>
      <c r="B89" s="280">
        <f>74+25</f>
        <v>99</v>
      </c>
      <c r="C89" s="280">
        <v>31</v>
      </c>
      <c r="D89" s="280"/>
      <c r="E89" s="280">
        <v>36</v>
      </c>
      <c r="F89" s="280"/>
      <c r="G89" s="280">
        <f t="shared" si="11"/>
        <v>166</v>
      </c>
    </row>
    <row r="90" spans="1:7" ht="22.5" x14ac:dyDescent="0.25">
      <c r="A90" s="43" t="s">
        <v>330</v>
      </c>
      <c r="B90" s="280">
        <f>B91+B92+B93+B97+B94+B95+B96</f>
        <v>2124</v>
      </c>
      <c r="C90" s="280">
        <f t="shared" ref="C90:F90" si="16">C91+C92+C93+C97+C94+C95+C96</f>
        <v>43</v>
      </c>
      <c r="D90" s="280">
        <f t="shared" si="16"/>
        <v>0</v>
      </c>
      <c r="E90" s="280">
        <f t="shared" si="16"/>
        <v>5</v>
      </c>
      <c r="F90" s="280">
        <f t="shared" si="16"/>
        <v>0</v>
      </c>
      <c r="G90" s="280">
        <f t="shared" si="11"/>
        <v>2172</v>
      </c>
    </row>
    <row r="91" spans="1:7" ht="22.5" x14ac:dyDescent="0.25">
      <c r="A91" s="44" t="s">
        <v>331</v>
      </c>
      <c r="B91" s="280">
        <f>119+18</f>
        <v>137</v>
      </c>
      <c r="C91" s="280">
        <v>18</v>
      </c>
      <c r="D91" s="280"/>
      <c r="E91" s="280">
        <v>2</v>
      </c>
      <c r="F91" s="280"/>
      <c r="G91" s="280">
        <f t="shared" si="11"/>
        <v>157</v>
      </c>
    </row>
    <row r="92" spans="1:7" ht="33.75" x14ac:dyDescent="0.25">
      <c r="A92" s="44" t="s">
        <v>332</v>
      </c>
      <c r="B92" s="280">
        <v>62</v>
      </c>
      <c r="C92" s="280"/>
      <c r="D92" s="280"/>
      <c r="E92" s="280"/>
      <c r="F92" s="280"/>
      <c r="G92" s="280">
        <f t="shared" si="11"/>
        <v>62</v>
      </c>
    </row>
    <row r="93" spans="1:7" ht="56.25" x14ac:dyDescent="0.25">
      <c r="A93" s="44" t="s">
        <v>333</v>
      </c>
      <c r="B93" s="280">
        <f>1856+41</f>
        <v>1897</v>
      </c>
      <c r="C93" s="280">
        <v>7</v>
      </c>
      <c r="D93" s="280"/>
      <c r="E93" s="280">
        <v>3</v>
      </c>
      <c r="F93" s="280"/>
      <c r="G93" s="280">
        <f t="shared" si="11"/>
        <v>1907</v>
      </c>
    </row>
    <row r="94" spans="1:7" ht="22.5" x14ac:dyDescent="0.25">
      <c r="A94" s="44" t="s">
        <v>334</v>
      </c>
      <c r="B94" s="280"/>
      <c r="C94" s="280"/>
      <c r="D94" s="280"/>
      <c r="E94" s="280"/>
      <c r="F94" s="280"/>
      <c r="G94" s="280">
        <f t="shared" si="11"/>
        <v>0</v>
      </c>
    </row>
    <row r="95" spans="1:7" ht="22.5" x14ac:dyDescent="0.25">
      <c r="A95" s="44" t="s">
        <v>335</v>
      </c>
      <c r="B95" s="280"/>
      <c r="C95" s="280">
        <v>18</v>
      </c>
      <c r="D95" s="280"/>
      <c r="E95" s="280"/>
      <c r="F95" s="280"/>
      <c r="G95" s="280">
        <f t="shared" si="11"/>
        <v>18</v>
      </c>
    </row>
    <row r="96" spans="1:7" ht="22.5" x14ac:dyDescent="0.25">
      <c r="A96" s="44" t="s">
        <v>336</v>
      </c>
      <c r="B96" s="280"/>
      <c r="C96" s="280"/>
      <c r="D96" s="280"/>
      <c r="E96" s="280"/>
      <c r="F96" s="280"/>
      <c r="G96" s="280">
        <f t="shared" si="11"/>
        <v>0</v>
      </c>
    </row>
    <row r="97" spans="1:7" x14ac:dyDescent="0.25">
      <c r="A97" s="44" t="s">
        <v>337</v>
      </c>
      <c r="B97" s="280">
        <v>28</v>
      </c>
      <c r="C97" s="280"/>
      <c r="D97" s="280"/>
      <c r="E97" s="280"/>
      <c r="F97" s="280"/>
      <c r="G97" s="280">
        <f t="shared" si="11"/>
        <v>28</v>
      </c>
    </row>
    <row r="98" spans="1:7" ht="33.75" x14ac:dyDescent="0.25">
      <c r="A98" s="43" t="s">
        <v>338</v>
      </c>
      <c r="B98" s="280">
        <f>B100+B102+B99+B101+B103+B104</f>
        <v>1133</v>
      </c>
      <c r="C98" s="280">
        <f t="shared" ref="C98:F98" si="17">C100+C102+C99+C101+C103+C104</f>
        <v>15</v>
      </c>
      <c r="D98" s="280">
        <f t="shared" si="17"/>
        <v>0</v>
      </c>
      <c r="E98" s="280">
        <f t="shared" si="17"/>
        <v>17</v>
      </c>
      <c r="F98" s="280">
        <f t="shared" si="17"/>
        <v>0</v>
      </c>
      <c r="G98" s="280">
        <f t="shared" si="11"/>
        <v>1165</v>
      </c>
    </row>
    <row r="99" spans="1:7" x14ac:dyDescent="0.25">
      <c r="A99" s="44" t="s">
        <v>339</v>
      </c>
      <c r="B99" s="280"/>
      <c r="C99" s="280">
        <v>5</v>
      </c>
      <c r="D99" s="280"/>
      <c r="E99" s="280"/>
      <c r="F99" s="280"/>
      <c r="G99" s="280">
        <f t="shared" si="11"/>
        <v>5</v>
      </c>
    </row>
    <row r="100" spans="1:7" ht="22.5" x14ac:dyDescent="0.25">
      <c r="A100" s="44" t="s">
        <v>340</v>
      </c>
      <c r="B100" s="280">
        <v>17</v>
      </c>
      <c r="C100" s="280"/>
      <c r="D100" s="280"/>
      <c r="E100" s="280"/>
      <c r="F100" s="280"/>
      <c r="G100" s="280">
        <f t="shared" si="11"/>
        <v>17</v>
      </c>
    </row>
    <row r="101" spans="1:7" ht="45" x14ac:dyDescent="0.25">
      <c r="A101" s="44" t="s">
        <v>341</v>
      </c>
      <c r="B101" s="280">
        <v>1</v>
      </c>
      <c r="C101" s="280">
        <v>2</v>
      </c>
      <c r="D101" s="280"/>
      <c r="E101" s="280"/>
      <c r="F101" s="280"/>
      <c r="G101" s="280">
        <f t="shared" si="11"/>
        <v>3</v>
      </c>
    </row>
    <row r="102" spans="1:7" ht="33.75" x14ac:dyDescent="0.25">
      <c r="A102" s="44" t="s">
        <v>342</v>
      </c>
      <c r="B102" s="280">
        <f>1101+8</f>
        <v>1109</v>
      </c>
      <c r="C102" s="280"/>
      <c r="D102" s="280"/>
      <c r="E102" s="280">
        <v>15</v>
      </c>
      <c r="F102" s="280"/>
      <c r="G102" s="280">
        <f t="shared" si="11"/>
        <v>1124</v>
      </c>
    </row>
    <row r="103" spans="1:7" ht="22.5" x14ac:dyDescent="0.25">
      <c r="A103" s="44" t="s">
        <v>343</v>
      </c>
      <c r="B103" s="280">
        <v>5</v>
      </c>
      <c r="C103" s="280">
        <v>8</v>
      </c>
      <c r="D103" s="280"/>
      <c r="E103" s="280">
        <v>2</v>
      </c>
      <c r="F103" s="280"/>
      <c r="G103" s="280">
        <f t="shared" si="11"/>
        <v>15</v>
      </c>
    </row>
    <row r="104" spans="1:7" ht="78.75" x14ac:dyDescent="0.25">
      <c r="A104" s="44" t="s">
        <v>344</v>
      </c>
      <c r="B104" s="280">
        <v>1</v>
      </c>
      <c r="C104" s="280"/>
      <c r="D104" s="280"/>
      <c r="E104" s="280"/>
      <c r="F104" s="280"/>
      <c r="G104" s="280">
        <f t="shared" si="11"/>
        <v>1</v>
      </c>
    </row>
    <row r="105" spans="1:7" ht="45" x14ac:dyDescent="0.25">
      <c r="A105" s="35" t="s">
        <v>55</v>
      </c>
      <c r="B105" s="280">
        <f>B106</f>
        <v>1589</v>
      </c>
      <c r="C105" s="280">
        <f t="shared" ref="C105:F105" si="18">C106</f>
        <v>0</v>
      </c>
      <c r="D105" s="280">
        <f t="shared" si="18"/>
        <v>0</v>
      </c>
      <c r="E105" s="280">
        <f t="shared" si="18"/>
        <v>0</v>
      </c>
      <c r="F105" s="280">
        <f t="shared" si="18"/>
        <v>0</v>
      </c>
      <c r="G105" s="280">
        <f t="shared" si="11"/>
        <v>1589</v>
      </c>
    </row>
    <row r="106" spans="1:7" ht="56.25" x14ac:dyDescent="0.25">
      <c r="A106" s="44" t="s">
        <v>345</v>
      </c>
      <c r="B106" s="280">
        <v>1589</v>
      </c>
      <c r="C106" s="280"/>
      <c r="D106" s="280"/>
      <c r="E106" s="280"/>
      <c r="F106" s="280"/>
      <c r="G106" s="280">
        <f t="shared" si="11"/>
        <v>1589</v>
      </c>
    </row>
    <row r="107" spans="1:7" x14ac:dyDescent="0.25">
      <c r="A107" s="35" t="s">
        <v>56</v>
      </c>
      <c r="B107" s="280">
        <f>1671+1</f>
        <v>1672</v>
      </c>
      <c r="C107" s="280">
        <v>29</v>
      </c>
      <c r="D107" s="280"/>
      <c r="E107" s="280"/>
      <c r="F107" s="280"/>
      <c r="G107" s="280">
        <f t="shared" si="11"/>
        <v>1701</v>
      </c>
    </row>
    <row r="108" spans="1:7" ht="33.75" x14ac:dyDescent="0.25">
      <c r="A108" s="43" t="s">
        <v>346</v>
      </c>
      <c r="B108" s="280">
        <f>B109+B110+B112+B111</f>
        <v>1125</v>
      </c>
      <c r="C108" s="280">
        <f t="shared" ref="C108:F108" si="19">C109+C110+C112+C111</f>
        <v>4</v>
      </c>
      <c r="D108" s="280">
        <f t="shared" si="19"/>
        <v>0</v>
      </c>
      <c r="E108" s="280">
        <f t="shared" si="19"/>
        <v>0</v>
      </c>
      <c r="F108" s="280">
        <f t="shared" si="19"/>
        <v>0</v>
      </c>
      <c r="G108" s="280">
        <f t="shared" si="11"/>
        <v>1129</v>
      </c>
    </row>
    <row r="109" spans="1:7" ht="22.5" x14ac:dyDescent="0.25">
      <c r="A109" s="36" t="s">
        <v>57</v>
      </c>
      <c r="B109" s="280">
        <f>1006+28</f>
        <v>1034</v>
      </c>
      <c r="C109" s="280">
        <v>4</v>
      </c>
      <c r="D109" s="280"/>
      <c r="E109" s="280"/>
      <c r="F109" s="280"/>
      <c r="G109" s="280">
        <f t="shared" si="11"/>
        <v>1038</v>
      </c>
    </row>
    <row r="110" spans="1:7" ht="22.5" x14ac:dyDescent="0.25">
      <c r="A110" s="44" t="s">
        <v>347</v>
      </c>
      <c r="B110" s="280">
        <v>46</v>
      </c>
      <c r="C110" s="280"/>
      <c r="D110" s="280"/>
      <c r="E110" s="280"/>
      <c r="F110" s="280"/>
      <c r="G110" s="280">
        <f t="shared" si="11"/>
        <v>46</v>
      </c>
    </row>
    <row r="111" spans="1:7" x14ac:dyDescent="0.25">
      <c r="A111" s="36" t="s">
        <v>58</v>
      </c>
      <c r="B111" s="280"/>
      <c r="C111" s="280"/>
      <c r="D111" s="280"/>
      <c r="E111" s="280"/>
      <c r="F111" s="280"/>
      <c r="G111" s="280">
        <f t="shared" si="11"/>
        <v>0</v>
      </c>
    </row>
    <row r="112" spans="1:7" ht="22.5" x14ac:dyDescent="0.25">
      <c r="A112" s="44" t="s">
        <v>348</v>
      </c>
      <c r="B112" s="280">
        <v>45</v>
      </c>
      <c r="C112" s="280"/>
      <c r="D112" s="280"/>
      <c r="E112" s="280"/>
      <c r="F112" s="280"/>
      <c r="G112" s="280">
        <f t="shared" si="11"/>
        <v>45</v>
      </c>
    </row>
    <row r="113" spans="1:7" ht="33.75" x14ac:dyDescent="0.25">
      <c r="A113" s="35" t="s">
        <v>349</v>
      </c>
      <c r="B113" s="280">
        <f>B114+B115+B116+B117</f>
        <v>505</v>
      </c>
      <c r="C113" s="280">
        <f t="shared" ref="C113:F113" si="20">C114+C115+C116+C117</f>
        <v>14</v>
      </c>
      <c r="D113" s="280">
        <f t="shared" si="20"/>
        <v>0</v>
      </c>
      <c r="E113" s="280">
        <f t="shared" si="20"/>
        <v>0</v>
      </c>
      <c r="F113" s="280">
        <f t="shared" si="20"/>
        <v>0</v>
      </c>
      <c r="G113" s="280">
        <f t="shared" si="11"/>
        <v>519</v>
      </c>
    </row>
    <row r="114" spans="1:7" ht="33.75" x14ac:dyDescent="0.25">
      <c r="A114" s="44" t="s">
        <v>350</v>
      </c>
      <c r="B114" s="280">
        <v>64</v>
      </c>
      <c r="C114" s="280">
        <v>5</v>
      </c>
      <c r="D114" s="280"/>
      <c r="E114" s="280"/>
      <c r="F114" s="280"/>
      <c r="G114" s="280">
        <f t="shared" si="11"/>
        <v>69</v>
      </c>
    </row>
    <row r="115" spans="1:7" ht="22.5" x14ac:dyDescent="0.25">
      <c r="A115" s="44" t="s">
        <v>351</v>
      </c>
      <c r="B115" s="280">
        <v>60</v>
      </c>
      <c r="C115" s="280"/>
      <c r="D115" s="280"/>
      <c r="E115" s="280"/>
      <c r="F115" s="280"/>
      <c r="G115" s="280">
        <f t="shared" si="11"/>
        <v>60</v>
      </c>
    </row>
    <row r="116" spans="1:7" ht="45" x14ac:dyDescent="0.25">
      <c r="A116" s="44" t="s">
        <v>352</v>
      </c>
      <c r="B116" s="280"/>
      <c r="C116" s="280"/>
      <c r="D116" s="280"/>
      <c r="E116" s="280"/>
      <c r="F116" s="280"/>
      <c r="G116" s="280">
        <f t="shared" si="11"/>
        <v>0</v>
      </c>
    </row>
    <row r="117" spans="1:7" ht="22.5" x14ac:dyDescent="0.25">
      <c r="A117" s="44" t="s">
        <v>353</v>
      </c>
      <c r="B117" s="280">
        <v>381</v>
      </c>
      <c r="C117" s="280">
        <v>9</v>
      </c>
      <c r="D117" s="280"/>
      <c r="E117" s="280"/>
      <c r="F117" s="280"/>
      <c r="G117" s="280">
        <f t="shared" si="11"/>
        <v>390</v>
      </c>
    </row>
    <row r="118" spans="1:7" ht="22.5" x14ac:dyDescent="0.25">
      <c r="A118" s="43" t="s">
        <v>354</v>
      </c>
      <c r="B118" s="280">
        <f>B119+B120+B121</f>
        <v>42</v>
      </c>
      <c r="C118" s="280">
        <f t="shared" ref="C118:F118" si="21">C119+C120+C121</f>
        <v>112</v>
      </c>
      <c r="D118" s="280">
        <f t="shared" si="21"/>
        <v>0</v>
      </c>
      <c r="E118" s="280">
        <f t="shared" si="21"/>
        <v>0</v>
      </c>
      <c r="F118" s="280">
        <f t="shared" si="21"/>
        <v>0</v>
      </c>
      <c r="G118" s="280">
        <f t="shared" si="11"/>
        <v>154</v>
      </c>
    </row>
    <row r="119" spans="1:7" ht="22.5" x14ac:dyDescent="0.25">
      <c r="A119" s="44" t="s">
        <v>355</v>
      </c>
      <c r="B119" s="280">
        <v>26</v>
      </c>
      <c r="C119" s="280"/>
      <c r="D119" s="280"/>
      <c r="E119" s="280"/>
      <c r="F119" s="280"/>
      <c r="G119" s="280">
        <f t="shared" si="11"/>
        <v>26</v>
      </c>
    </row>
    <row r="120" spans="1:7" ht="33.75" x14ac:dyDescent="0.25">
      <c r="A120" s="44" t="s">
        <v>356</v>
      </c>
      <c r="B120" s="280">
        <f>2+4</f>
        <v>6</v>
      </c>
      <c r="C120" s="280">
        <v>34</v>
      </c>
      <c r="D120" s="280"/>
      <c r="E120" s="280"/>
      <c r="F120" s="280"/>
      <c r="G120" s="280">
        <f t="shared" si="11"/>
        <v>40</v>
      </c>
    </row>
    <row r="121" spans="1:7" ht="22.5" x14ac:dyDescent="0.25">
      <c r="A121" s="44" t="s">
        <v>357</v>
      </c>
      <c r="B121" s="280">
        <v>10</v>
      </c>
      <c r="C121" s="280">
        <v>78</v>
      </c>
      <c r="D121" s="280"/>
      <c r="E121" s="280"/>
      <c r="F121" s="280"/>
      <c r="G121" s="280">
        <f t="shared" si="11"/>
        <v>88</v>
      </c>
    </row>
    <row r="122" spans="1:7" ht="78.75" x14ac:dyDescent="0.25">
      <c r="A122" s="43" t="s">
        <v>358</v>
      </c>
      <c r="B122" s="280"/>
      <c r="C122" s="280"/>
      <c r="D122" s="280"/>
      <c r="E122" s="280"/>
      <c r="F122" s="280"/>
      <c r="G122" s="280">
        <f t="shared" si="11"/>
        <v>0</v>
      </c>
    </row>
    <row r="123" spans="1:7" ht="22.5" x14ac:dyDescent="0.25">
      <c r="A123" s="44" t="s">
        <v>359</v>
      </c>
      <c r="B123" s="280"/>
      <c r="C123" s="280"/>
      <c r="D123" s="280"/>
      <c r="E123" s="280"/>
      <c r="F123" s="280"/>
      <c r="G123" s="280">
        <f t="shared" si="11"/>
        <v>0</v>
      </c>
    </row>
    <row r="124" spans="1:7" ht="56.25" x14ac:dyDescent="0.25">
      <c r="A124" s="44" t="s">
        <v>360</v>
      </c>
      <c r="B124" s="280"/>
      <c r="C124" s="280"/>
      <c r="D124" s="280"/>
      <c r="E124" s="280"/>
      <c r="F124" s="280"/>
      <c r="G124" s="280">
        <f t="shared" si="11"/>
        <v>0</v>
      </c>
    </row>
    <row r="125" spans="1:7" ht="22.5" x14ac:dyDescent="0.25">
      <c r="A125" s="43" t="s">
        <v>361</v>
      </c>
      <c r="B125" s="280"/>
      <c r="C125" s="280"/>
      <c r="D125" s="280"/>
      <c r="E125" s="280"/>
      <c r="F125" s="280"/>
      <c r="G125" s="280">
        <f t="shared" si="11"/>
        <v>0</v>
      </c>
    </row>
    <row r="126" spans="1:7" ht="22.5" x14ac:dyDescent="0.25">
      <c r="A126" s="45" t="s">
        <v>362</v>
      </c>
      <c r="B126" s="280"/>
      <c r="C126" s="280"/>
      <c r="D126" s="280"/>
      <c r="E126" s="280"/>
      <c r="F126" s="280"/>
      <c r="G126" s="280">
        <f t="shared" si="11"/>
        <v>0</v>
      </c>
    </row>
  </sheetData>
  <mergeCells count="2">
    <mergeCell ref="A2:G2"/>
    <mergeCell ref="A1:G1"/>
  </mergeCell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rgb="FF00B0F0"/>
  </sheetPr>
  <dimension ref="A1:BI8"/>
  <sheetViews>
    <sheetView workbookViewId="0">
      <selection activeCell="D14" sqref="D14"/>
    </sheetView>
  </sheetViews>
  <sheetFormatPr defaultRowHeight="15" x14ac:dyDescent="0.25"/>
  <cols>
    <col min="1" max="1" width="14.7109375" customWidth="1"/>
    <col min="2" max="2" width="17" customWidth="1"/>
    <col min="3" max="27" width="5.140625" customWidth="1"/>
    <col min="28" max="37" width="5.85546875" customWidth="1"/>
    <col min="38" max="41" width="10" customWidth="1"/>
    <col min="42" max="58" width="8.42578125" customWidth="1"/>
    <col min="59" max="59" width="10" customWidth="1"/>
    <col min="60" max="60" width="8.42578125" customWidth="1"/>
    <col min="61" max="61" width="10.140625" customWidth="1"/>
  </cols>
  <sheetData>
    <row r="1" spans="1:61" s="87" customFormat="1" ht="18" x14ac:dyDescent="0.25">
      <c r="A1" s="84"/>
      <c r="B1" s="259" t="s">
        <v>166</v>
      </c>
      <c r="C1" s="259"/>
      <c r="D1" s="259"/>
      <c r="E1" s="259"/>
      <c r="F1" s="259"/>
      <c r="G1" s="259"/>
      <c r="H1" s="259"/>
      <c r="I1" s="259"/>
      <c r="J1" s="259"/>
      <c r="K1" s="259"/>
      <c r="L1" s="259"/>
      <c r="M1" s="259"/>
      <c r="N1" s="259"/>
      <c r="O1" s="259"/>
      <c r="P1" s="259"/>
      <c r="Q1" s="259"/>
      <c r="R1" s="259"/>
      <c r="S1" s="259"/>
      <c r="T1" s="259"/>
      <c r="U1" s="259"/>
      <c r="V1" s="259"/>
      <c r="W1" s="259"/>
      <c r="X1" s="259"/>
      <c r="Y1" s="259"/>
      <c r="Z1" s="259"/>
      <c r="AA1" s="259"/>
      <c r="AB1" s="259"/>
      <c r="AC1" s="259"/>
      <c r="AD1" s="259"/>
      <c r="AE1" s="259"/>
      <c r="AF1" s="259"/>
      <c r="AG1" s="259"/>
      <c r="AH1" s="259"/>
      <c r="AI1" s="259"/>
      <c r="AJ1" s="259"/>
      <c r="AK1" s="259"/>
    </row>
    <row r="2" spans="1:61" s="87" customFormat="1" x14ac:dyDescent="0.25">
      <c r="A2" s="85"/>
      <c r="B2" s="260" t="s">
        <v>896</v>
      </c>
      <c r="C2" s="260"/>
      <c r="D2" s="260"/>
      <c r="E2" s="260"/>
      <c r="F2" s="260"/>
      <c r="G2" s="260"/>
      <c r="H2" s="260"/>
      <c r="I2" s="260"/>
      <c r="J2" s="260"/>
      <c r="K2" s="260"/>
      <c r="L2" s="260"/>
      <c r="M2" s="260"/>
      <c r="N2" s="260"/>
      <c r="O2" s="260"/>
      <c r="P2" s="260"/>
      <c r="Q2" s="260"/>
      <c r="R2" s="260"/>
      <c r="S2" s="260"/>
      <c r="T2" s="260"/>
      <c r="U2" s="260"/>
      <c r="V2" s="260"/>
      <c r="W2" s="260"/>
      <c r="X2" s="260"/>
      <c r="Y2" s="260"/>
      <c r="Z2" s="260"/>
      <c r="AA2" s="260"/>
      <c r="AB2" s="260"/>
      <c r="AC2" s="260"/>
      <c r="AD2" s="260"/>
      <c r="AE2" s="260"/>
      <c r="AF2" s="260"/>
      <c r="AG2" s="260"/>
      <c r="AH2" s="260"/>
      <c r="AI2" s="260"/>
      <c r="AJ2" s="260"/>
      <c r="AK2" s="260"/>
    </row>
    <row r="3" spans="1:61" s="87" customFormat="1" x14ac:dyDescent="0.25">
      <c r="A3" s="84"/>
      <c r="B3" s="260" t="s">
        <v>587</v>
      </c>
      <c r="C3" s="260"/>
      <c r="D3" s="260"/>
      <c r="E3" s="260"/>
      <c r="F3" s="260"/>
      <c r="G3" s="260"/>
      <c r="H3" s="260"/>
      <c r="I3" s="260"/>
      <c r="J3" s="260"/>
      <c r="K3" s="260"/>
      <c r="L3" s="260"/>
      <c r="M3" s="260"/>
      <c r="N3" s="260"/>
      <c r="O3" s="260"/>
      <c r="P3" s="260"/>
      <c r="Q3" s="260"/>
      <c r="R3" s="260"/>
      <c r="S3" s="260"/>
      <c r="T3" s="260"/>
      <c r="U3" s="260"/>
      <c r="V3" s="260"/>
      <c r="W3" s="260"/>
      <c r="X3" s="260"/>
      <c r="Y3" s="260"/>
      <c r="Z3" s="260"/>
      <c r="AA3" s="260"/>
      <c r="AB3" s="260"/>
      <c r="AC3" s="260"/>
      <c r="AD3" s="260"/>
      <c r="AE3" s="260"/>
      <c r="AF3" s="260"/>
      <c r="AG3" s="260"/>
      <c r="AH3" s="260"/>
      <c r="AI3" s="260"/>
      <c r="AJ3" s="260"/>
      <c r="AK3" s="260"/>
    </row>
    <row r="4" spans="1:61" s="87" customFormat="1" ht="33" customHeight="1" x14ac:dyDescent="0.25">
      <c r="A4" s="290" t="s">
        <v>165</v>
      </c>
      <c r="B4" s="290" t="s">
        <v>118</v>
      </c>
      <c r="C4" s="290" t="s">
        <v>508</v>
      </c>
      <c r="D4" s="290"/>
      <c r="E4" s="290" t="s">
        <v>509</v>
      </c>
      <c r="F4" s="290"/>
      <c r="G4" s="290" t="s">
        <v>160</v>
      </c>
      <c r="H4" s="290"/>
      <c r="I4" s="290"/>
      <c r="J4" s="290"/>
      <c r="K4" s="290"/>
      <c r="L4" s="290"/>
      <c r="M4" s="290"/>
      <c r="N4" s="290" t="s">
        <v>161</v>
      </c>
      <c r="O4" s="290"/>
      <c r="P4" s="290"/>
      <c r="Q4" s="290"/>
      <c r="R4" s="290"/>
      <c r="S4" s="290"/>
      <c r="T4" s="290"/>
      <c r="U4" s="290" t="s">
        <v>162</v>
      </c>
      <c r="V4" s="290"/>
      <c r="W4" s="290"/>
      <c r="X4" s="290"/>
      <c r="Y4" s="290"/>
      <c r="Z4" s="290"/>
      <c r="AA4" s="290"/>
      <c r="AB4" s="290" t="s">
        <v>100</v>
      </c>
      <c r="AC4" s="290"/>
      <c r="AD4" s="290" t="s">
        <v>461</v>
      </c>
      <c r="AE4" s="290"/>
      <c r="AF4" s="290" t="s">
        <v>460</v>
      </c>
      <c r="AG4" s="290"/>
      <c r="AH4" s="290"/>
      <c r="AI4" s="290"/>
      <c r="AJ4" s="290" t="s">
        <v>462</v>
      </c>
      <c r="AK4" s="290"/>
      <c r="AL4" s="290" t="s">
        <v>507</v>
      </c>
      <c r="AM4" s="290"/>
      <c r="AN4" s="291" t="s">
        <v>497</v>
      </c>
      <c r="AO4" s="291"/>
      <c r="AP4" s="291"/>
      <c r="AQ4" s="291"/>
      <c r="AR4" s="291"/>
      <c r="AS4" s="291"/>
      <c r="AT4" s="291"/>
      <c r="AU4" s="291"/>
      <c r="AV4" s="291"/>
      <c r="AW4" s="291"/>
      <c r="AX4" s="291"/>
      <c r="AY4" s="291"/>
      <c r="AZ4" s="291"/>
      <c r="BA4" s="291"/>
      <c r="BB4" s="291"/>
      <c r="BC4" s="291"/>
      <c r="BD4" s="291"/>
      <c r="BE4" s="291"/>
      <c r="BF4" s="291" t="s">
        <v>503</v>
      </c>
      <c r="BG4" s="291"/>
      <c r="BH4" s="291"/>
      <c r="BI4" s="291"/>
    </row>
    <row r="5" spans="1:61" s="87" customFormat="1" ht="15" customHeight="1" x14ac:dyDescent="0.25">
      <c r="A5" s="290"/>
      <c r="B5" s="290"/>
      <c r="C5" s="290" t="s">
        <v>163</v>
      </c>
      <c r="D5" s="290" t="s">
        <v>104</v>
      </c>
      <c r="E5" s="290" t="s">
        <v>163</v>
      </c>
      <c r="F5" s="290" t="s">
        <v>104</v>
      </c>
      <c r="G5" s="290" t="s">
        <v>94</v>
      </c>
      <c r="H5" s="290" t="s">
        <v>510</v>
      </c>
      <c r="I5" s="290"/>
      <c r="J5" s="290" t="s">
        <v>511</v>
      </c>
      <c r="K5" s="290"/>
      <c r="L5" s="290" t="s">
        <v>512</v>
      </c>
      <c r="M5" s="290"/>
      <c r="N5" s="290" t="s">
        <v>94</v>
      </c>
      <c r="O5" s="290" t="s">
        <v>510</v>
      </c>
      <c r="P5" s="290"/>
      <c r="Q5" s="290" t="s">
        <v>511</v>
      </c>
      <c r="R5" s="290"/>
      <c r="S5" s="290" t="s">
        <v>512</v>
      </c>
      <c r="T5" s="290"/>
      <c r="U5" s="290" t="s">
        <v>94</v>
      </c>
      <c r="V5" s="290" t="s">
        <v>510</v>
      </c>
      <c r="W5" s="290"/>
      <c r="X5" s="290" t="s">
        <v>511</v>
      </c>
      <c r="Y5" s="290"/>
      <c r="Z5" s="290" t="s">
        <v>512</v>
      </c>
      <c r="AA5" s="290"/>
      <c r="AB5" s="290" t="s">
        <v>102</v>
      </c>
      <c r="AC5" s="290" t="s">
        <v>103</v>
      </c>
      <c r="AD5" s="290" t="s">
        <v>122</v>
      </c>
      <c r="AE5" s="290" t="s">
        <v>103</v>
      </c>
      <c r="AF5" s="290" t="s">
        <v>123</v>
      </c>
      <c r="AG5" s="290"/>
      <c r="AH5" s="290" t="s">
        <v>121</v>
      </c>
      <c r="AI5" s="290"/>
      <c r="AJ5" s="290" t="s">
        <v>122</v>
      </c>
      <c r="AK5" s="290" t="s">
        <v>103</v>
      </c>
      <c r="AL5" s="290"/>
      <c r="AM5" s="290"/>
      <c r="AN5" s="290" t="s">
        <v>506</v>
      </c>
      <c r="AO5" s="290"/>
      <c r="AP5" s="291" t="s">
        <v>495</v>
      </c>
      <c r="AQ5" s="291"/>
      <c r="AR5" s="291"/>
      <c r="AS5" s="291"/>
      <c r="AT5" s="291" t="s">
        <v>498</v>
      </c>
      <c r="AU5" s="291"/>
      <c r="AV5" s="291"/>
      <c r="AW5" s="291"/>
      <c r="AX5" s="291" t="s">
        <v>505</v>
      </c>
      <c r="AY5" s="291"/>
      <c r="AZ5" s="291"/>
      <c r="BA5" s="291"/>
      <c r="BB5" s="291" t="s">
        <v>501</v>
      </c>
      <c r="BC5" s="291"/>
      <c r="BD5" s="291"/>
      <c r="BE5" s="291"/>
      <c r="BF5" s="291" t="s">
        <v>490</v>
      </c>
      <c r="BG5" s="291"/>
      <c r="BH5" s="291" t="s">
        <v>491</v>
      </c>
      <c r="BI5" s="291"/>
    </row>
    <row r="6" spans="1:61" s="87" customFormat="1" ht="15" customHeight="1" x14ac:dyDescent="0.25">
      <c r="A6" s="290"/>
      <c r="B6" s="290"/>
      <c r="C6" s="290"/>
      <c r="D6" s="290"/>
      <c r="E6" s="290"/>
      <c r="F6" s="290"/>
      <c r="G6" s="290"/>
      <c r="H6" s="290"/>
      <c r="I6" s="290"/>
      <c r="J6" s="290" t="s">
        <v>511</v>
      </c>
      <c r="K6" s="290"/>
      <c r="L6" s="290" t="s">
        <v>512</v>
      </c>
      <c r="M6" s="290"/>
      <c r="N6" s="290"/>
      <c r="O6" s="290"/>
      <c r="P6" s="290"/>
      <c r="Q6" s="290" t="s">
        <v>511</v>
      </c>
      <c r="R6" s="290"/>
      <c r="S6" s="290" t="s">
        <v>512</v>
      </c>
      <c r="T6" s="290"/>
      <c r="U6" s="290"/>
      <c r="V6" s="290"/>
      <c r="W6" s="290"/>
      <c r="X6" s="290" t="s">
        <v>511</v>
      </c>
      <c r="Y6" s="290"/>
      <c r="Z6" s="290" t="s">
        <v>512</v>
      </c>
      <c r="AA6" s="290"/>
      <c r="AB6" s="290"/>
      <c r="AC6" s="290"/>
      <c r="AD6" s="290"/>
      <c r="AE6" s="290"/>
      <c r="AF6" s="290" t="s">
        <v>122</v>
      </c>
      <c r="AG6" s="290" t="s">
        <v>103</v>
      </c>
      <c r="AH6" s="290"/>
      <c r="AI6" s="290"/>
      <c r="AJ6" s="290"/>
      <c r="AK6" s="290"/>
      <c r="AL6" s="290"/>
      <c r="AM6" s="290"/>
      <c r="AN6" s="290"/>
      <c r="AO6" s="290"/>
      <c r="AP6" s="291" t="s">
        <v>496</v>
      </c>
      <c r="AQ6" s="291"/>
      <c r="AR6" s="291" t="s">
        <v>491</v>
      </c>
      <c r="AS6" s="291"/>
      <c r="AT6" s="291" t="s">
        <v>496</v>
      </c>
      <c r="AU6" s="291"/>
      <c r="AV6" s="291" t="s">
        <v>491</v>
      </c>
      <c r="AW6" s="291"/>
      <c r="AX6" s="291" t="s">
        <v>496</v>
      </c>
      <c r="AY6" s="291"/>
      <c r="AZ6" s="291" t="s">
        <v>491</v>
      </c>
      <c r="BA6" s="291"/>
      <c r="BB6" s="291" t="s">
        <v>496</v>
      </c>
      <c r="BC6" s="291"/>
      <c r="BD6" s="291" t="s">
        <v>491</v>
      </c>
      <c r="BE6" s="291"/>
      <c r="BF6" s="291" t="s">
        <v>502</v>
      </c>
      <c r="BG6" s="291" t="s">
        <v>500</v>
      </c>
      <c r="BH6" s="291" t="s">
        <v>502</v>
      </c>
      <c r="BI6" s="291" t="s">
        <v>500</v>
      </c>
    </row>
    <row r="7" spans="1:61" s="87" customFormat="1" ht="78.75" x14ac:dyDescent="0.25">
      <c r="A7" s="290"/>
      <c r="B7" s="290"/>
      <c r="C7" s="290"/>
      <c r="D7" s="290"/>
      <c r="E7" s="290"/>
      <c r="F7" s="290"/>
      <c r="G7" s="290"/>
      <c r="H7" s="292" t="s">
        <v>513</v>
      </c>
      <c r="I7" s="292" t="s">
        <v>514</v>
      </c>
      <c r="J7" s="292" t="s">
        <v>513</v>
      </c>
      <c r="K7" s="292" t="s">
        <v>514</v>
      </c>
      <c r="L7" s="292" t="s">
        <v>513</v>
      </c>
      <c r="M7" s="292" t="s">
        <v>514</v>
      </c>
      <c r="N7" s="290"/>
      <c r="O7" s="292" t="s">
        <v>513</v>
      </c>
      <c r="P7" s="292" t="s">
        <v>514</v>
      </c>
      <c r="Q7" s="292" t="s">
        <v>513</v>
      </c>
      <c r="R7" s="292" t="s">
        <v>514</v>
      </c>
      <c r="S7" s="292" t="s">
        <v>513</v>
      </c>
      <c r="T7" s="292" t="s">
        <v>514</v>
      </c>
      <c r="U7" s="290"/>
      <c r="V7" s="292" t="s">
        <v>513</v>
      </c>
      <c r="W7" s="292" t="s">
        <v>514</v>
      </c>
      <c r="X7" s="292" t="s">
        <v>513</v>
      </c>
      <c r="Y7" s="292" t="s">
        <v>514</v>
      </c>
      <c r="Z7" s="292" t="s">
        <v>513</v>
      </c>
      <c r="AA7" s="292" t="s">
        <v>514</v>
      </c>
      <c r="AB7" s="290"/>
      <c r="AC7" s="290"/>
      <c r="AD7" s="290"/>
      <c r="AE7" s="290"/>
      <c r="AF7" s="290"/>
      <c r="AG7" s="290"/>
      <c r="AH7" s="292" t="s">
        <v>102</v>
      </c>
      <c r="AI7" s="292" t="s">
        <v>103</v>
      </c>
      <c r="AJ7" s="290"/>
      <c r="AK7" s="290"/>
      <c r="AL7" s="292" t="s">
        <v>490</v>
      </c>
      <c r="AM7" s="292" t="s">
        <v>491</v>
      </c>
      <c r="AN7" s="292" t="s">
        <v>490</v>
      </c>
      <c r="AO7" s="292" t="s">
        <v>491</v>
      </c>
      <c r="AP7" s="293" t="s">
        <v>499</v>
      </c>
      <c r="AQ7" s="293" t="s">
        <v>500</v>
      </c>
      <c r="AR7" s="293" t="s">
        <v>499</v>
      </c>
      <c r="AS7" s="293" t="s">
        <v>500</v>
      </c>
      <c r="AT7" s="294" t="s">
        <v>504</v>
      </c>
      <c r="AU7" s="293" t="s">
        <v>500</v>
      </c>
      <c r="AV7" s="294" t="s">
        <v>504</v>
      </c>
      <c r="AW7" s="293" t="s">
        <v>500</v>
      </c>
      <c r="AX7" s="293" t="s">
        <v>502</v>
      </c>
      <c r="AY7" s="293" t="s">
        <v>500</v>
      </c>
      <c r="AZ7" s="293" t="s">
        <v>502</v>
      </c>
      <c r="BA7" s="293" t="s">
        <v>500</v>
      </c>
      <c r="BB7" s="293" t="s">
        <v>502</v>
      </c>
      <c r="BC7" s="293" t="s">
        <v>500</v>
      </c>
      <c r="BD7" s="293" t="s">
        <v>502</v>
      </c>
      <c r="BE7" s="293" t="s">
        <v>500</v>
      </c>
      <c r="BF7" s="291"/>
      <c r="BG7" s="291"/>
      <c r="BH7" s="291"/>
      <c r="BI7" s="291"/>
    </row>
    <row r="8" spans="1:61" ht="192" x14ac:dyDescent="0.25">
      <c r="A8" s="227" t="s">
        <v>624</v>
      </c>
      <c r="B8" s="197" t="s">
        <v>625</v>
      </c>
      <c r="C8" s="196">
        <v>1255</v>
      </c>
      <c r="D8" s="196">
        <v>1255</v>
      </c>
      <c r="E8" s="196">
        <v>375</v>
      </c>
      <c r="F8" s="196">
        <v>375</v>
      </c>
      <c r="G8" s="196">
        <v>804</v>
      </c>
      <c r="H8" s="196">
        <v>414.58</v>
      </c>
      <c r="I8" s="196">
        <v>17.2</v>
      </c>
      <c r="J8" s="196">
        <v>0.25</v>
      </c>
      <c r="K8" s="196">
        <v>371.58</v>
      </c>
      <c r="L8" s="196">
        <v>0</v>
      </c>
      <c r="M8" s="196">
        <v>0</v>
      </c>
      <c r="N8" s="196">
        <v>185</v>
      </c>
      <c r="O8" s="196">
        <v>143</v>
      </c>
      <c r="P8" s="196">
        <v>0</v>
      </c>
      <c r="Q8" s="196">
        <v>10</v>
      </c>
      <c r="R8" s="196">
        <v>32</v>
      </c>
      <c r="S8" s="196">
        <v>0</v>
      </c>
      <c r="T8" s="196">
        <v>0</v>
      </c>
      <c r="U8" s="196">
        <v>110</v>
      </c>
      <c r="V8" s="196">
        <v>67</v>
      </c>
      <c r="W8" s="196">
        <v>2</v>
      </c>
      <c r="X8" s="196">
        <v>0</v>
      </c>
      <c r="Y8" s="196">
        <v>41</v>
      </c>
      <c r="Z8" s="196">
        <v>0</v>
      </c>
      <c r="AA8" s="196">
        <v>0</v>
      </c>
      <c r="AB8" s="196">
        <f>[3]Лист1!AB8</f>
        <v>163</v>
      </c>
      <c r="AC8" s="196">
        <f>[3]Лист1!AC8</f>
        <v>142</v>
      </c>
      <c r="AD8" s="196">
        <f>[3]Лист1!AD8</f>
        <v>33</v>
      </c>
      <c r="AE8" s="196">
        <f>[3]Лист1!AE8</f>
        <v>22</v>
      </c>
      <c r="AF8" s="196">
        <f>[3]Лист1!AF8</f>
        <v>46</v>
      </c>
      <c r="AG8" s="196">
        <f>[3]Лист1!AG8</f>
        <v>56</v>
      </c>
      <c r="AH8" s="196">
        <f>[3]Лист1!AH8</f>
        <v>46</v>
      </c>
      <c r="AI8" s="196">
        <f>[3]Лист1!AI8</f>
        <v>56</v>
      </c>
      <c r="AJ8" s="196">
        <f>[3]Лист1!AJ8</f>
        <v>84</v>
      </c>
      <c r="AK8" s="196">
        <f>[3]Лист1!AK8</f>
        <v>64</v>
      </c>
      <c r="AL8" s="195">
        <f>AN8+BG8</f>
        <v>24851.152999999998</v>
      </c>
      <c r="AM8" s="195">
        <f>AO8+BI8</f>
        <v>19056.599999999999</v>
      </c>
      <c r="AN8" s="195">
        <f>AQ8+AU8+AY8+BC8</f>
        <v>24247.777999999998</v>
      </c>
      <c r="AO8" s="195">
        <f>AS8+AW8+BA8+BE8</f>
        <v>18453.224999999999</v>
      </c>
      <c r="AP8" s="195">
        <v>969.32500000000005</v>
      </c>
      <c r="AQ8" s="195">
        <v>3185.538</v>
      </c>
      <c r="AR8" s="195">
        <v>410.35300000000001</v>
      </c>
      <c r="AS8" s="195">
        <v>3035.88</v>
      </c>
      <c r="AT8" s="195">
        <v>5.5170000000000003</v>
      </c>
      <c r="AU8" s="195">
        <v>14505.175999999999</v>
      </c>
      <c r="AV8" s="195">
        <v>4.3949999999999996</v>
      </c>
      <c r="AW8" s="195">
        <v>11554.053</v>
      </c>
      <c r="AX8" s="195">
        <v>26746.399999999998</v>
      </c>
      <c r="AY8" s="195">
        <v>4140.8050000000003</v>
      </c>
      <c r="AZ8" s="195">
        <v>17377.990000000002</v>
      </c>
      <c r="BA8" s="195">
        <v>2710.8530000000001</v>
      </c>
      <c r="BB8" s="195">
        <v>26746.400000000001</v>
      </c>
      <c r="BC8" s="195">
        <v>2416.259</v>
      </c>
      <c r="BD8" s="195">
        <v>17377.989999999998</v>
      </c>
      <c r="BE8" s="195">
        <v>1152.4390000000001</v>
      </c>
      <c r="BF8" s="195">
        <v>804.5</v>
      </c>
      <c r="BG8" s="195">
        <v>603.375</v>
      </c>
      <c r="BH8" s="195">
        <v>804.5</v>
      </c>
      <c r="BI8" s="195">
        <v>603.375</v>
      </c>
    </row>
  </sheetData>
  <mergeCells count="62">
    <mergeCell ref="B1:AK1"/>
    <mergeCell ref="B2:AK2"/>
    <mergeCell ref="B3:AK3"/>
    <mergeCell ref="A4:A7"/>
    <mergeCell ref="B4:B7"/>
    <mergeCell ref="Z5:AA6"/>
    <mergeCell ref="AB5:AB7"/>
    <mergeCell ref="H5:I6"/>
    <mergeCell ref="J5:K6"/>
    <mergeCell ref="L5:M6"/>
    <mergeCell ref="O5:P6"/>
    <mergeCell ref="N5:N7"/>
    <mergeCell ref="AJ5:AJ7"/>
    <mergeCell ref="AK5:AK7"/>
    <mergeCell ref="AF6:AF7"/>
    <mergeCell ref="AG6:AG7"/>
    <mergeCell ref="BH6:BH7"/>
    <mergeCell ref="BI6:BI7"/>
    <mergeCell ref="AN4:BE4"/>
    <mergeCell ref="BF4:BI4"/>
    <mergeCell ref="AP5:AS5"/>
    <mergeCell ref="AT5:AW5"/>
    <mergeCell ref="AX5:BA5"/>
    <mergeCell ref="BB5:BE5"/>
    <mergeCell ref="BF5:BG5"/>
    <mergeCell ref="BH5:BI5"/>
    <mergeCell ref="AP6:AQ6"/>
    <mergeCell ref="AR6:AS6"/>
    <mergeCell ref="AT6:AU6"/>
    <mergeCell ref="AV6:AW6"/>
    <mergeCell ref="AX6:AY6"/>
    <mergeCell ref="AZ6:BA6"/>
    <mergeCell ref="BD6:BE6"/>
    <mergeCell ref="BF6:BF7"/>
    <mergeCell ref="BG6:BG7"/>
    <mergeCell ref="BB6:BC6"/>
    <mergeCell ref="Q5:R6"/>
    <mergeCell ref="S5:T6"/>
    <mergeCell ref="U5:U7"/>
    <mergeCell ref="V5:W6"/>
    <mergeCell ref="X5:Y6"/>
    <mergeCell ref="AN5:AO6"/>
    <mergeCell ref="AE5:AE7"/>
    <mergeCell ref="AF5:AG5"/>
    <mergeCell ref="AH5:AI6"/>
    <mergeCell ref="AL4:AM6"/>
    <mergeCell ref="AB4:AC4"/>
    <mergeCell ref="AD4:AE4"/>
    <mergeCell ref="AF4:AI4"/>
    <mergeCell ref="AJ4:AK4"/>
    <mergeCell ref="C5:C7"/>
    <mergeCell ref="D5:D7"/>
    <mergeCell ref="E5:E7"/>
    <mergeCell ref="F5:F7"/>
    <mergeCell ref="G5:G7"/>
    <mergeCell ref="AC5:AC7"/>
    <mergeCell ref="C4:D4"/>
    <mergeCell ref="E4:F4"/>
    <mergeCell ref="G4:M4"/>
    <mergeCell ref="N4:T4"/>
    <mergeCell ref="U4:AA4"/>
    <mergeCell ref="AD5:AD7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rgb="FF00B0F0"/>
  </sheetPr>
  <dimension ref="A1:I8"/>
  <sheetViews>
    <sheetView workbookViewId="0">
      <selection activeCell="C17" sqref="C17"/>
    </sheetView>
  </sheetViews>
  <sheetFormatPr defaultRowHeight="15" x14ac:dyDescent="0.25"/>
  <cols>
    <col min="1" max="1" width="22.28515625" customWidth="1"/>
    <col min="2" max="2" width="20.85546875" customWidth="1"/>
    <col min="6" max="6" width="12" customWidth="1"/>
  </cols>
  <sheetData>
    <row r="1" spans="1:9" ht="18" x14ac:dyDescent="0.25">
      <c r="A1" s="254" t="s">
        <v>167</v>
      </c>
      <c r="B1" s="254"/>
      <c r="C1" s="254"/>
      <c r="D1" s="254"/>
      <c r="E1" s="254"/>
      <c r="F1" s="254"/>
      <c r="G1" s="254"/>
      <c r="H1" s="254"/>
      <c r="I1" s="254"/>
    </row>
    <row r="2" spans="1:9" x14ac:dyDescent="0.25">
      <c r="A2" s="15"/>
      <c r="B2" s="253" t="s">
        <v>896</v>
      </c>
      <c r="C2" s="253"/>
      <c r="D2" s="253"/>
      <c r="E2" s="15"/>
      <c r="F2" s="15"/>
      <c r="G2" s="15"/>
      <c r="H2" s="15"/>
      <c r="I2" s="15"/>
    </row>
    <row r="3" spans="1:9" x14ac:dyDescent="0.25">
      <c r="A3" s="18"/>
      <c r="B3" s="262" t="s">
        <v>587</v>
      </c>
      <c r="C3" s="262"/>
      <c r="D3" s="262"/>
      <c r="E3" s="20"/>
      <c r="F3" s="20"/>
      <c r="G3" s="20"/>
      <c r="H3" s="20"/>
      <c r="I3" s="20"/>
    </row>
    <row r="4" spans="1:9" ht="56.25" x14ac:dyDescent="0.25">
      <c r="A4" s="285" t="s">
        <v>61</v>
      </c>
      <c r="B4" s="285" t="s">
        <v>97</v>
      </c>
      <c r="C4" s="285" t="s">
        <v>168</v>
      </c>
      <c r="D4" s="285" t="s">
        <v>169</v>
      </c>
      <c r="E4" s="285" t="s">
        <v>170</v>
      </c>
      <c r="F4" s="285" t="s">
        <v>171</v>
      </c>
      <c r="G4" s="285" t="s">
        <v>92</v>
      </c>
      <c r="H4" s="285" t="s">
        <v>172</v>
      </c>
      <c r="I4" s="285" t="s">
        <v>173</v>
      </c>
    </row>
    <row r="5" spans="1:9" x14ac:dyDescent="0.25">
      <c r="A5" s="232" t="s">
        <v>887</v>
      </c>
      <c r="B5" s="250" t="s">
        <v>883</v>
      </c>
      <c r="C5" s="249" t="s">
        <v>890</v>
      </c>
      <c r="D5" s="249">
        <v>0.04</v>
      </c>
      <c r="E5" s="249">
        <v>0.04</v>
      </c>
      <c r="F5" s="249"/>
      <c r="G5" s="249" t="s">
        <v>893</v>
      </c>
      <c r="H5" s="249">
        <v>6</v>
      </c>
      <c r="I5" s="249">
        <v>3</v>
      </c>
    </row>
    <row r="6" spans="1:9" ht="22.5" x14ac:dyDescent="0.25">
      <c r="A6" s="232" t="s">
        <v>895</v>
      </c>
      <c r="B6" s="249" t="s">
        <v>883</v>
      </c>
      <c r="C6" s="249" t="s">
        <v>890</v>
      </c>
      <c r="D6" s="249">
        <v>0.05</v>
      </c>
      <c r="E6" s="249">
        <v>0.05</v>
      </c>
      <c r="F6" s="249" t="s">
        <v>892</v>
      </c>
      <c r="G6" s="249">
        <v>108.087</v>
      </c>
      <c r="H6" s="249">
        <v>6</v>
      </c>
      <c r="I6" s="249">
        <v>3</v>
      </c>
    </row>
    <row r="7" spans="1:9" ht="45" x14ac:dyDescent="0.25">
      <c r="A7" s="252" t="s">
        <v>882</v>
      </c>
      <c r="B7" s="250" t="s">
        <v>883</v>
      </c>
      <c r="C7" s="239" t="s">
        <v>890</v>
      </c>
      <c r="D7" s="239">
        <v>0.35</v>
      </c>
      <c r="E7" s="239">
        <v>0.35</v>
      </c>
      <c r="F7" s="249" t="s">
        <v>884</v>
      </c>
      <c r="G7" s="239">
        <v>165.75</v>
      </c>
      <c r="H7" s="239">
        <v>6</v>
      </c>
      <c r="I7" s="239">
        <v>3</v>
      </c>
    </row>
    <row r="8" spans="1:9" ht="21" x14ac:dyDescent="0.25">
      <c r="A8" s="232" t="s">
        <v>888</v>
      </c>
      <c r="B8" s="250" t="s">
        <v>883</v>
      </c>
      <c r="C8" s="250" t="s">
        <v>891</v>
      </c>
      <c r="D8" s="239">
        <v>0.4</v>
      </c>
      <c r="E8" s="239">
        <v>0.4</v>
      </c>
      <c r="F8" s="250" t="s">
        <v>894</v>
      </c>
      <c r="G8" s="251"/>
      <c r="H8" s="239">
        <v>6</v>
      </c>
      <c r="I8" s="239">
        <v>3</v>
      </c>
    </row>
  </sheetData>
  <mergeCells count="3">
    <mergeCell ref="B2:D2"/>
    <mergeCell ref="B3:D3"/>
    <mergeCell ref="A1:I1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rgb="FF00B0F0"/>
  </sheetPr>
  <dimension ref="A1:C17"/>
  <sheetViews>
    <sheetView workbookViewId="0">
      <selection activeCell="E2" sqref="E2"/>
    </sheetView>
  </sheetViews>
  <sheetFormatPr defaultRowHeight="15" x14ac:dyDescent="0.25"/>
  <cols>
    <col min="1" max="1" width="28.5703125" customWidth="1"/>
    <col min="3" max="3" width="17.85546875" customWidth="1"/>
  </cols>
  <sheetData>
    <row r="1" spans="1:3" ht="36.75" customHeight="1" x14ac:dyDescent="0.25">
      <c r="A1" s="254" t="s">
        <v>174</v>
      </c>
      <c r="B1" s="254"/>
      <c r="C1" s="254"/>
    </row>
    <row r="2" spans="1:3" x14ac:dyDescent="0.25">
      <c r="A2" s="253" t="s">
        <v>896</v>
      </c>
      <c r="B2" s="253"/>
      <c r="C2" s="253"/>
    </row>
    <row r="3" spans="1:3" x14ac:dyDescent="0.25">
      <c r="A3" s="262" t="s">
        <v>587</v>
      </c>
      <c r="B3" s="262"/>
      <c r="C3" s="262"/>
    </row>
    <row r="4" spans="1:3" ht="56.25" x14ac:dyDescent="0.25">
      <c r="A4" s="296"/>
      <c r="B4" s="296" t="s">
        <v>175</v>
      </c>
      <c r="C4" s="296" t="s">
        <v>176</v>
      </c>
    </row>
    <row r="5" spans="1:3" ht="22.5" x14ac:dyDescent="0.25">
      <c r="A5" s="5" t="s">
        <v>177</v>
      </c>
      <c r="B5" s="132"/>
      <c r="C5" s="132"/>
    </row>
    <row r="6" spans="1:3" ht="22.5" x14ac:dyDescent="0.25">
      <c r="A6" s="5" t="s">
        <v>178</v>
      </c>
      <c r="B6" s="132" t="s">
        <v>743</v>
      </c>
      <c r="C6" s="132" t="s">
        <v>744</v>
      </c>
    </row>
    <row r="7" spans="1:3" x14ac:dyDescent="0.25">
      <c r="A7" s="5"/>
      <c r="B7" s="132"/>
      <c r="C7" s="132"/>
    </row>
    <row r="8" spans="1:3" ht="22.5" x14ac:dyDescent="0.25">
      <c r="A8" s="5" t="s">
        <v>179</v>
      </c>
      <c r="B8" s="132" t="s">
        <v>743</v>
      </c>
      <c r="C8" s="132" t="s">
        <v>745</v>
      </c>
    </row>
    <row r="9" spans="1:3" x14ac:dyDescent="0.25">
      <c r="A9" s="6" t="s">
        <v>180</v>
      </c>
      <c r="B9" s="132"/>
      <c r="C9" s="132"/>
    </row>
    <row r="10" spans="1:3" ht="22.5" x14ac:dyDescent="0.25">
      <c r="A10" s="7" t="s">
        <v>181</v>
      </c>
      <c r="B10" s="132"/>
      <c r="C10" s="132"/>
    </row>
    <row r="11" spans="1:3" ht="22.5" x14ac:dyDescent="0.25">
      <c r="A11" s="7" t="s">
        <v>182</v>
      </c>
      <c r="B11" s="132"/>
      <c r="C11" s="132"/>
    </row>
    <row r="12" spans="1:3" ht="22.5" x14ac:dyDescent="0.25">
      <c r="A12" s="7" t="s">
        <v>183</v>
      </c>
      <c r="B12" s="132"/>
      <c r="C12" s="132"/>
    </row>
    <row r="13" spans="1:3" x14ac:dyDescent="0.25">
      <c r="A13" s="6" t="s">
        <v>184</v>
      </c>
      <c r="B13" s="132"/>
      <c r="C13" s="132"/>
    </row>
    <row r="14" spans="1:3" ht="33.75" x14ac:dyDescent="0.25">
      <c r="A14" s="7" t="s">
        <v>185</v>
      </c>
      <c r="B14" s="132"/>
      <c r="C14" s="132"/>
    </row>
    <row r="15" spans="1:3" ht="22.5" x14ac:dyDescent="0.25">
      <c r="A15" s="7" t="s">
        <v>182</v>
      </c>
      <c r="B15" s="132"/>
      <c r="C15" s="132"/>
    </row>
    <row r="16" spans="1:3" ht="22.5" x14ac:dyDescent="0.25">
      <c r="A16" s="7" t="s">
        <v>183</v>
      </c>
      <c r="B16" s="132"/>
      <c r="C16" s="132"/>
    </row>
    <row r="17" spans="1:3" ht="22.5" x14ac:dyDescent="0.25">
      <c r="A17" s="5" t="s">
        <v>186</v>
      </c>
      <c r="B17" s="132" t="s">
        <v>743</v>
      </c>
      <c r="C17" s="132" t="s">
        <v>398</v>
      </c>
    </row>
  </sheetData>
  <mergeCells count="3">
    <mergeCell ref="A2:C2"/>
    <mergeCell ref="A3:C3"/>
    <mergeCell ref="A1:C1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rgb="FF00B0F0"/>
  </sheetPr>
  <dimension ref="A1:C13"/>
  <sheetViews>
    <sheetView workbookViewId="0">
      <selection activeCell="E7" sqref="E7"/>
    </sheetView>
  </sheetViews>
  <sheetFormatPr defaultRowHeight="15" x14ac:dyDescent="0.25"/>
  <cols>
    <col min="1" max="1" width="23.42578125" customWidth="1"/>
    <col min="2" max="2" width="14.42578125" customWidth="1"/>
    <col min="3" max="3" width="11.5703125" customWidth="1"/>
  </cols>
  <sheetData>
    <row r="1" spans="1:3" ht="18" x14ac:dyDescent="0.25">
      <c r="A1" s="261" t="s">
        <v>187</v>
      </c>
      <c r="B1" s="261"/>
      <c r="C1" s="2"/>
    </row>
    <row r="2" spans="1:3" x14ac:dyDescent="0.25">
      <c r="A2" s="253" t="s">
        <v>896</v>
      </c>
      <c r="B2" s="253"/>
      <c r="C2" s="253"/>
    </row>
    <row r="3" spans="1:3" x14ac:dyDescent="0.25">
      <c r="A3" s="253" t="s">
        <v>587</v>
      </c>
      <c r="B3" s="253"/>
      <c r="C3" s="253"/>
    </row>
    <row r="4" spans="1:3" x14ac:dyDescent="0.25">
      <c r="A4" s="11"/>
      <c r="B4" s="11"/>
      <c r="C4" s="25" t="s">
        <v>188</v>
      </c>
    </row>
    <row r="5" spans="1:3" ht="78.75" x14ac:dyDescent="0.25">
      <c r="A5" s="285" t="s">
        <v>189</v>
      </c>
      <c r="B5" s="285" t="s">
        <v>190</v>
      </c>
      <c r="C5" s="285" t="s">
        <v>176</v>
      </c>
    </row>
    <row r="6" spans="1:3" x14ac:dyDescent="0.25">
      <c r="A6" s="46" t="s">
        <v>191</v>
      </c>
      <c r="B6" s="47"/>
      <c r="C6" s="47"/>
    </row>
    <row r="7" spans="1:3" ht="22.5" x14ac:dyDescent="0.25">
      <c r="A7" s="48" t="s">
        <v>192</v>
      </c>
      <c r="B7" s="47"/>
      <c r="C7" s="47"/>
    </row>
    <row r="8" spans="1:3" ht="22.5" x14ac:dyDescent="0.25">
      <c r="A8" s="46" t="s">
        <v>193</v>
      </c>
      <c r="B8" s="47">
        <v>15.3</v>
      </c>
      <c r="C8" s="47">
        <v>15.3</v>
      </c>
    </row>
    <row r="9" spans="1:3" ht="22.5" x14ac:dyDescent="0.25">
      <c r="A9" s="48" t="s">
        <v>192</v>
      </c>
      <c r="B9" s="47">
        <v>15.3</v>
      </c>
      <c r="C9" s="47">
        <v>15.3</v>
      </c>
    </row>
    <row r="10" spans="1:3" ht="22.5" x14ac:dyDescent="0.25">
      <c r="A10" s="46" t="s">
        <v>194</v>
      </c>
      <c r="B10" s="47"/>
      <c r="C10" s="47"/>
    </row>
    <row r="11" spans="1:3" ht="22.5" x14ac:dyDescent="0.25">
      <c r="A11" s="48" t="s">
        <v>192</v>
      </c>
      <c r="B11" s="47"/>
      <c r="C11" s="47"/>
    </row>
    <row r="12" spans="1:3" ht="22.5" x14ac:dyDescent="0.25">
      <c r="A12" s="46" t="s">
        <v>588</v>
      </c>
      <c r="B12" s="47">
        <v>43.09</v>
      </c>
      <c r="C12" s="47">
        <v>43.09</v>
      </c>
    </row>
    <row r="13" spans="1:3" ht="22.5" x14ac:dyDescent="0.25">
      <c r="A13" s="48" t="s">
        <v>192</v>
      </c>
      <c r="B13" s="47">
        <v>43.09</v>
      </c>
      <c r="C13" s="47">
        <v>43.09</v>
      </c>
    </row>
  </sheetData>
  <mergeCells count="3">
    <mergeCell ref="A1:B1"/>
    <mergeCell ref="A2:C2"/>
    <mergeCell ref="A3:C3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rgb="FF00B0F0"/>
  </sheetPr>
  <dimension ref="A1:B26"/>
  <sheetViews>
    <sheetView topLeftCell="A4" workbookViewId="0">
      <selection activeCell="I19" sqref="I19"/>
    </sheetView>
  </sheetViews>
  <sheetFormatPr defaultRowHeight="15" x14ac:dyDescent="0.25"/>
  <cols>
    <col min="1" max="1" width="28" customWidth="1"/>
  </cols>
  <sheetData>
    <row r="1" spans="1:2" ht="18" x14ac:dyDescent="0.25">
      <c r="A1" s="8" t="s">
        <v>195</v>
      </c>
      <c r="B1" s="2"/>
    </row>
    <row r="2" spans="1:2" x14ac:dyDescent="0.25">
      <c r="A2" s="253" t="s">
        <v>896</v>
      </c>
      <c r="B2" s="253"/>
    </row>
    <row r="3" spans="1:2" x14ac:dyDescent="0.25">
      <c r="A3" s="262" t="s">
        <v>587</v>
      </c>
      <c r="B3" s="262"/>
    </row>
    <row r="4" spans="1:2" ht="22.5" x14ac:dyDescent="0.25">
      <c r="A4" s="296" t="s">
        <v>3</v>
      </c>
      <c r="B4" s="296" t="s">
        <v>4</v>
      </c>
    </row>
    <row r="5" spans="1:2" ht="22.5" x14ac:dyDescent="0.25">
      <c r="A5" s="271" t="s">
        <v>196</v>
      </c>
      <c r="B5" s="21">
        <v>717.79</v>
      </c>
    </row>
    <row r="6" spans="1:2" ht="33.75" x14ac:dyDescent="0.25">
      <c r="A6" s="271" t="s">
        <v>197</v>
      </c>
      <c r="B6" s="21">
        <v>1.0900000000000001</v>
      </c>
    </row>
    <row r="7" spans="1:2" x14ac:dyDescent="0.25">
      <c r="A7" s="270" t="s">
        <v>93</v>
      </c>
      <c r="B7" s="24"/>
    </row>
    <row r="8" spans="1:2" x14ac:dyDescent="0.25">
      <c r="A8" s="272" t="s">
        <v>198</v>
      </c>
      <c r="B8" s="21"/>
    </row>
    <row r="9" spans="1:2" x14ac:dyDescent="0.25">
      <c r="A9" s="272" t="s">
        <v>199</v>
      </c>
      <c r="B9" s="21"/>
    </row>
    <row r="10" spans="1:2" x14ac:dyDescent="0.25">
      <c r="A10" s="272" t="s">
        <v>200</v>
      </c>
      <c r="B10" s="21"/>
    </row>
    <row r="11" spans="1:2" x14ac:dyDescent="0.25">
      <c r="A11" s="272" t="s">
        <v>201</v>
      </c>
      <c r="B11" s="21"/>
    </row>
    <row r="12" spans="1:2" x14ac:dyDescent="0.25">
      <c r="A12" s="272" t="s">
        <v>202</v>
      </c>
      <c r="B12" s="21"/>
    </row>
    <row r="13" spans="1:2" ht="22.5" x14ac:dyDescent="0.25">
      <c r="A13" s="270" t="s">
        <v>203</v>
      </c>
      <c r="B13" s="24"/>
    </row>
    <row r="14" spans="1:2" ht="22.5" x14ac:dyDescent="0.25">
      <c r="A14" s="272" t="s">
        <v>204</v>
      </c>
      <c r="B14" s="21"/>
    </row>
    <row r="15" spans="1:2" ht="22.5" x14ac:dyDescent="0.25">
      <c r="A15" s="272" t="s">
        <v>205</v>
      </c>
      <c r="B15" s="21"/>
    </row>
    <row r="16" spans="1:2" x14ac:dyDescent="0.25">
      <c r="A16" s="272" t="s">
        <v>206</v>
      </c>
      <c r="B16" s="21"/>
    </row>
    <row r="17" spans="1:2" ht="22.5" x14ac:dyDescent="0.25">
      <c r="A17" s="271" t="s">
        <v>207</v>
      </c>
      <c r="B17" s="21"/>
    </row>
    <row r="18" spans="1:2" x14ac:dyDescent="0.25">
      <c r="A18" s="271" t="s">
        <v>208</v>
      </c>
      <c r="B18" s="21">
        <v>7.18</v>
      </c>
    </row>
    <row r="19" spans="1:2" ht="56.25" x14ac:dyDescent="0.25">
      <c r="A19" s="271" t="s">
        <v>583</v>
      </c>
      <c r="B19" s="21"/>
    </row>
    <row r="20" spans="1:2" s="66" customFormat="1" x14ac:dyDescent="0.25">
      <c r="A20" s="271" t="s">
        <v>580</v>
      </c>
      <c r="B20" s="21">
        <v>2.88</v>
      </c>
    </row>
    <row r="21" spans="1:2" s="66" customFormat="1" x14ac:dyDescent="0.25">
      <c r="A21" s="271" t="s">
        <v>581</v>
      </c>
      <c r="B21" s="21"/>
    </row>
    <row r="22" spans="1:2" s="66" customFormat="1" x14ac:dyDescent="0.25">
      <c r="A22" s="271" t="s">
        <v>582</v>
      </c>
      <c r="B22" s="21">
        <v>4.34</v>
      </c>
    </row>
    <row r="23" spans="1:2" ht="22.5" x14ac:dyDescent="0.25">
      <c r="A23" s="271" t="s">
        <v>209</v>
      </c>
      <c r="B23" s="21">
        <v>32.1</v>
      </c>
    </row>
    <row r="24" spans="1:2" x14ac:dyDescent="0.25">
      <c r="A24" s="271" t="s">
        <v>210</v>
      </c>
      <c r="B24" s="21">
        <v>649.9</v>
      </c>
    </row>
    <row r="25" spans="1:2" x14ac:dyDescent="0.25">
      <c r="A25" s="271" t="s">
        <v>211</v>
      </c>
      <c r="B25" s="21">
        <v>20.3</v>
      </c>
    </row>
    <row r="26" spans="1:2" x14ac:dyDescent="0.25">
      <c r="A26" s="271" t="s">
        <v>212</v>
      </c>
      <c r="B26" s="21"/>
    </row>
  </sheetData>
  <mergeCells count="2">
    <mergeCell ref="A2:B2"/>
    <mergeCell ref="A3:B3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rgb="FF00B0F0"/>
  </sheetPr>
  <dimension ref="A1:B104"/>
  <sheetViews>
    <sheetView workbookViewId="0">
      <selection activeCell="E12" sqref="E12"/>
    </sheetView>
  </sheetViews>
  <sheetFormatPr defaultRowHeight="15" x14ac:dyDescent="0.25"/>
  <cols>
    <col min="1" max="1" width="30.5703125" customWidth="1"/>
    <col min="2" max="2" width="15.28515625" customWidth="1"/>
  </cols>
  <sheetData>
    <row r="1" spans="1:2" ht="54" customHeight="1" x14ac:dyDescent="0.25">
      <c r="A1" s="254" t="s">
        <v>213</v>
      </c>
      <c r="B1" s="254"/>
    </row>
    <row r="2" spans="1:2" x14ac:dyDescent="0.25">
      <c r="A2" s="253" t="s">
        <v>896</v>
      </c>
      <c r="B2" s="253"/>
    </row>
    <row r="3" spans="1:2" x14ac:dyDescent="0.25">
      <c r="A3" s="262" t="s">
        <v>587</v>
      </c>
      <c r="B3" s="262"/>
    </row>
    <row r="4" spans="1:2" x14ac:dyDescent="0.25">
      <c r="A4" s="296" t="s">
        <v>214</v>
      </c>
      <c r="B4" s="296" t="s">
        <v>4</v>
      </c>
    </row>
    <row r="5" spans="1:2" ht="22.5" x14ac:dyDescent="0.25">
      <c r="A5" s="343" t="s">
        <v>215</v>
      </c>
      <c r="B5" s="95">
        <v>7</v>
      </c>
    </row>
    <row r="6" spans="1:2" x14ac:dyDescent="0.25">
      <c r="A6" s="270" t="s">
        <v>93</v>
      </c>
      <c r="B6" s="24"/>
    </row>
    <row r="7" spans="1:2" x14ac:dyDescent="0.25">
      <c r="A7" s="272" t="s">
        <v>216</v>
      </c>
      <c r="B7" s="21"/>
    </row>
    <row r="8" spans="1:2" x14ac:dyDescent="0.25">
      <c r="A8" s="344" t="s">
        <v>93</v>
      </c>
      <c r="B8" s="24"/>
    </row>
    <row r="9" spans="1:2" ht="22.5" x14ac:dyDescent="0.25">
      <c r="A9" s="345" t="s">
        <v>217</v>
      </c>
      <c r="B9" s="21"/>
    </row>
    <row r="10" spans="1:2" ht="22.5" x14ac:dyDescent="0.25">
      <c r="A10" s="345" t="s">
        <v>218</v>
      </c>
      <c r="B10" s="21"/>
    </row>
    <row r="11" spans="1:2" x14ac:dyDescent="0.25">
      <c r="A11" s="345" t="s">
        <v>219</v>
      </c>
      <c r="B11" s="21"/>
    </row>
    <row r="12" spans="1:2" x14ac:dyDescent="0.25">
      <c r="A12" s="345" t="s">
        <v>220</v>
      </c>
      <c r="B12" s="21"/>
    </row>
    <row r="13" spans="1:2" x14ac:dyDescent="0.25">
      <c r="A13" s="345" t="s">
        <v>221</v>
      </c>
      <c r="B13" s="21"/>
    </row>
    <row r="14" spans="1:2" ht="33.75" x14ac:dyDescent="0.25">
      <c r="A14" s="345" t="s">
        <v>222</v>
      </c>
      <c r="B14" s="21"/>
    </row>
    <row r="15" spans="1:2" x14ac:dyDescent="0.25">
      <c r="A15" s="345" t="s">
        <v>223</v>
      </c>
      <c r="B15" s="21"/>
    </row>
    <row r="16" spans="1:2" x14ac:dyDescent="0.25">
      <c r="A16" s="345" t="s">
        <v>224</v>
      </c>
      <c r="B16" s="95">
        <v>2</v>
      </c>
    </row>
    <row r="17" spans="1:2" x14ac:dyDescent="0.25">
      <c r="A17" s="272" t="s">
        <v>225</v>
      </c>
      <c r="B17" s="95">
        <v>1</v>
      </c>
    </row>
    <row r="18" spans="1:2" ht="22.5" x14ac:dyDescent="0.25">
      <c r="A18" s="346" t="s">
        <v>363</v>
      </c>
      <c r="B18" s="95"/>
    </row>
    <row r="19" spans="1:2" x14ac:dyDescent="0.25">
      <c r="A19" s="346" t="s">
        <v>364</v>
      </c>
      <c r="B19" s="95"/>
    </row>
    <row r="20" spans="1:2" x14ac:dyDescent="0.25">
      <c r="A20" s="272" t="s">
        <v>226</v>
      </c>
      <c r="B20" s="95"/>
    </row>
    <row r="21" spans="1:2" ht="22.5" x14ac:dyDescent="0.25">
      <c r="A21" s="270" t="s">
        <v>227</v>
      </c>
      <c r="B21" s="95">
        <v>4</v>
      </c>
    </row>
    <row r="22" spans="1:2" s="66" customFormat="1" ht="22.5" x14ac:dyDescent="0.25">
      <c r="A22" s="270" t="s">
        <v>584</v>
      </c>
      <c r="B22" s="21"/>
    </row>
    <row r="23" spans="1:2" x14ac:dyDescent="0.25">
      <c r="A23" s="343" t="s">
        <v>228</v>
      </c>
      <c r="B23" s="133">
        <v>168.47</v>
      </c>
    </row>
    <row r="24" spans="1:2" x14ac:dyDescent="0.25">
      <c r="A24" s="270" t="s">
        <v>93</v>
      </c>
      <c r="B24" s="95"/>
    </row>
    <row r="25" spans="1:2" x14ac:dyDescent="0.25">
      <c r="A25" s="272" t="s">
        <v>229</v>
      </c>
      <c r="B25" s="95">
        <v>136.69</v>
      </c>
    </row>
    <row r="26" spans="1:2" x14ac:dyDescent="0.25">
      <c r="A26" s="344" t="s">
        <v>230</v>
      </c>
      <c r="B26" s="95"/>
    </row>
    <row r="27" spans="1:2" ht="22.5" x14ac:dyDescent="0.25">
      <c r="A27" s="344" t="s">
        <v>205</v>
      </c>
      <c r="B27" s="95"/>
    </row>
    <row r="28" spans="1:2" x14ac:dyDescent="0.25">
      <c r="A28" s="344" t="s">
        <v>231</v>
      </c>
      <c r="B28" s="95">
        <v>136.69</v>
      </c>
    </row>
    <row r="29" spans="1:2" x14ac:dyDescent="0.25">
      <c r="A29" s="272" t="s">
        <v>232</v>
      </c>
      <c r="B29" s="95">
        <v>31.78</v>
      </c>
    </row>
    <row r="30" spans="1:2" x14ac:dyDescent="0.25">
      <c r="A30" s="344" t="s">
        <v>230</v>
      </c>
      <c r="B30" s="95"/>
    </row>
    <row r="31" spans="1:2" ht="22.5" x14ac:dyDescent="0.25">
      <c r="A31" s="344" t="s">
        <v>205</v>
      </c>
      <c r="B31" s="95"/>
    </row>
    <row r="32" spans="1:2" x14ac:dyDescent="0.25">
      <c r="A32" s="344" t="s">
        <v>231</v>
      </c>
      <c r="B32" s="95">
        <v>37.78</v>
      </c>
    </row>
    <row r="33" spans="1:2" ht="22.5" x14ac:dyDescent="0.25">
      <c r="A33" s="272" t="s">
        <v>233</v>
      </c>
      <c r="B33" s="95">
        <v>150.9</v>
      </c>
    </row>
    <row r="34" spans="1:2" x14ac:dyDescent="0.25">
      <c r="A34" s="344" t="s">
        <v>230</v>
      </c>
      <c r="B34" s="95"/>
    </row>
    <row r="35" spans="1:2" ht="22.5" x14ac:dyDescent="0.25">
      <c r="A35" s="344" t="s">
        <v>205</v>
      </c>
      <c r="B35" s="95"/>
    </row>
    <row r="36" spans="1:2" x14ac:dyDescent="0.25">
      <c r="A36" s="344" t="s">
        <v>231</v>
      </c>
      <c r="B36" s="95"/>
    </row>
    <row r="37" spans="1:2" x14ac:dyDescent="0.25">
      <c r="A37" s="272" t="s">
        <v>234</v>
      </c>
      <c r="B37" s="95"/>
    </row>
    <row r="38" spans="1:2" x14ac:dyDescent="0.25">
      <c r="A38" s="344" t="s">
        <v>230</v>
      </c>
      <c r="B38" s="95"/>
    </row>
    <row r="39" spans="1:2" ht="22.5" x14ac:dyDescent="0.25">
      <c r="A39" s="344" t="s">
        <v>205</v>
      </c>
      <c r="B39" s="95"/>
    </row>
    <row r="40" spans="1:2" x14ac:dyDescent="0.25">
      <c r="A40" s="344" t="s">
        <v>231</v>
      </c>
      <c r="B40" s="95"/>
    </row>
    <row r="41" spans="1:2" x14ac:dyDescent="0.25">
      <c r="A41" s="272" t="s">
        <v>235</v>
      </c>
      <c r="B41" s="95"/>
    </row>
    <row r="42" spans="1:2" x14ac:dyDescent="0.25">
      <c r="A42" s="344" t="s">
        <v>230</v>
      </c>
      <c r="B42" s="95"/>
    </row>
    <row r="43" spans="1:2" ht="22.5" x14ac:dyDescent="0.25">
      <c r="A43" s="344" t="s">
        <v>205</v>
      </c>
      <c r="B43" s="95"/>
    </row>
    <row r="44" spans="1:2" x14ac:dyDescent="0.25">
      <c r="A44" s="344" t="s">
        <v>231</v>
      </c>
      <c r="B44" s="95"/>
    </row>
    <row r="45" spans="1:2" ht="22.5" x14ac:dyDescent="0.25">
      <c r="A45" s="343" t="s">
        <v>236</v>
      </c>
      <c r="B45" s="21"/>
    </row>
    <row r="46" spans="1:2" x14ac:dyDescent="0.25">
      <c r="A46" s="270" t="s">
        <v>237</v>
      </c>
      <c r="B46" s="21">
        <v>8</v>
      </c>
    </row>
    <row r="47" spans="1:2" ht="22.5" x14ac:dyDescent="0.25">
      <c r="A47" s="272" t="s">
        <v>205</v>
      </c>
      <c r="B47" s="21"/>
    </row>
    <row r="48" spans="1:2" x14ac:dyDescent="0.25">
      <c r="A48" s="272" t="s">
        <v>230</v>
      </c>
      <c r="B48" s="21"/>
    </row>
    <row r="49" spans="1:2" x14ac:dyDescent="0.25">
      <c r="A49" s="272" t="s">
        <v>231</v>
      </c>
      <c r="B49" s="21">
        <v>8</v>
      </c>
    </row>
    <row r="50" spans="1:2" x14ac:dyDescent="0.25">
      <c r="A50" s="272" t="s">
        <v>238</v>
      </c>
      <c r="B50" s="21">
        <v>2</v>
      </c>
    </row>
    <row r="51" spans="1:2" ht="22.5" x14ac:dyDescent="0.25">
      <c r="A51" s="344" t="s">
        <v>205</v>
      </c>
      <c r="B51" s="21"/>
    </row>
    <row r="52" spans="1:2" x14ac:dyDescent="0.25">
      <c r="A52" s="344" t="s">
        <v>230</v>
      </c>
      <c r="B52" s="21"/>
    </row>
    <row r="53" spans="1:2" x14ac:dyDescent="0.25">
      <c r="A53" s="344" t="s">
        <v>231</v>
      </c>
      <c r="B53" s="21">
        <v>2</v>
      </c>
    </row>
    <row r="54" spans="1:2" x14ac:dyDescent="0.25">
      <c r="A54" s="270" t="s">
        <v>239</v>
      </c>
      <c r="B54" s="95">
        <v>6</v>
      </c>
    </row>
    <row r="55" spans="1:2" ht="22.5" x14ac:dyDescent="0.25">
      <c r="A55" s="272" t="s">
        <v>205</v>
      </c>
      <c r="B55" s="95">
        <v>6</v>
      </c>
    </row>
    <row r="56" spans="1:2" x14ac:dyDescent="0.25">
      <c r="A56" s="272" t="s">
        <v>230</v>
      </c>
      <c r="B56" s="95"/>
    </row>
    <row r="57" spans="1:2" x14ac:dyDescent="0.25">
      <c r="A57" s="272" t="s">
        <v>231</v>
      </c>
      <c r="B57" s="95"/>
    </row>
    <row r="58" spans="1:2" x14ac:dyDescent="0.25">
      <c r="A58" s="270" t="s">
        <v>240</v>
      </c>
      <c r="B58" s="95">
        <v>33</v>
      </c>
    </row>
    <row r="59" spans="1:2" ht="22.5" x14ac:dyDescent="0.25">
      <c r="A59" s="272" t="s">
        <v>205</v>
      </c>
      <c r="B59" s="95">
        <v>15</v>
      </c>
    </row>
    <row r="60" spans="1:2" x14ac:dyDescent="0.25">
      <c r="A60" s="272" t="s">
        <v>230</v>
      </c>
      <c r="B60" s="95"/>
    </row>
    <row r="61" spans="1:2" x14ac:dyDescent="0.25">
      <c r="A61" s="272" t="s">
        <v>231</v>
      </c>
      <c r="B61" s="95">
        <v>18</v>
      </c>
    </row>
    <row r="62" spans="1:2" x14ac:dyDescent="0.25">
      <c r="A62" s="270" t="s">
        <v>241</v>
      </c>
      <c r="B62" s="95"/>
    </row>
    <row r="63" spans="1:2" ht="22.5" x14ac:dyDescent="0.25">
      <c r="A63" s="272" t="s">
        <v>205</v>
      </c>
      <c r="B63" s="95"/>
    </row>
    <row r="64" spans="1:2" x14ac:dyDescent="0.25">
      <c r="A64" s="272" t="s">
        <v>230</v>
      </c>
      <c r="B64" s="95"/>
    </row>
    <row r="65" spans="1:2" x14ac:dyDescent="0.25">
      <c r="A65" s="272" t="s">
        <v>231</v>
      </c>
      <c r="B65" s="95"/>
    </row>
    <row r="66" spans="1:2" x14ac:dyDescent="0.25">
      <c r="A66" s="270" t="s">
        <v>242</v>
      </c>
      <c r="B66" s="95">
        <v>70</v>
      </c>
    </row>
    <row r="67" spans="1:2" ht="22.5" x14ac:dyDescent="0.25">
      <c r="A67" s="272" t="s">
        <v>205</v>
      </c>
      <c r="B67" s="95">
        <v>52</v>
      </c>
    </row>
    <row r="68" spans="1:2" x14ac:dyDescent="0.25">
      <c r="A68" s="272" t="s">
        <v>230</v>
      </c>
      <c r="B68" s="95">
        <v>10</v>
      </c>
    </row>
    <row r="69" spans="1:2" x14ac:dyDescent="0.25">
      <c r="A69" s="272" t="s">
        <v>231</v>
      </c>
      <c r="B69" s="95">
        <v>8</v>
      </c>
    </row>
    <row r="70" spans="1:2" ht="33.75" x14ac:dyDescent="0.25">
      <c r="A70" s="343" t="s">
        <v>243</v>
      </c>
      <c r="B70" s="21"/>
    </row>
    <row r="71" spans="1:2" x14ac:dyDescent="0.25">
      <c r="A71" s="270" t="s">
        <v>244</v>
      </c>
      <c r="B71" s="95">
        <v>0.28000000000000003</v>
      </c>
    </row>
    <row r="72" spans="1:2" x14ac:dyDescent="0.25">
      <c r="A72" s="270" t="s">
        <v>245</v>
      </c>
      <c r="B72" s="95">
        <v>5.94</v>
      </c>
    </row>
    <row r="73" spans="1:2" x14ac:dyDescent="0.25">
      <c r="A73" s="270" t="s">
        <v>246</v>
      </c>
      <c r="B73" s="95">
        <v>16.399999999999999</v>
      </c>
    </row>
    <row r="74" spans="1:2" x14ac:dyDescent="0.25">
      <c r="A74" s="270" t="s">
        <v>247</v>
      </c>
      <c r="B74" s="95"/>
    </row>
    <row r="75" spans="1:2" x14ac:dyDescent="0.25">
      <c r="A75" s="270" t="s">
        <v>248</v>
      </c>
      <c r="B75" s="95">
        <v>1022.11</v>
      </c>
    </row>
    <row r="76" spans="1:2" x14ac:dyDescent="0.25">
      <c r="A76" s="270" t="s">
        <v>249</v>
      </c>
      <c r="B76" s="95"/>
    </row>
    <row r="77" spans="1:2" x14ac:dyDescent="0.25">
      <c r="A77" s="347" t="s">
        <v>229</v>
      </c>
      <c r="B77" s="95">
        <v>1073.8599999999999</v>
      </c>
    </row>
    <row r="78" spans="1:2" ht="33.75" x14ac:dyDescent="0.25">
      <c r="A78" s="343" t="s">
        <v>250</v>
      </c>
      <c r="B78" s="21"/>
    </row>
    <row r="79" spans="1:2" x14ac:dyDescent="0.25">
      <c r="A79" s="270" t="s">
        <v>244</v>
      </c>
      <c r="B79" s="21"/>
    </row>
    <row r="80" spans="1:2" x14ac:dyDescent="0.25">
      <c r="A80" s="270" t="s">
        <v>245</v>
      </c>
      <c r="B80" s="21"/>
    </row>
    <row r="81" spans="1:2" x14ac:dyDescent="0.25">
      <c r="A81" s="270" t="s">
        <v>246</v>
      </c>
      <c r="B81" s="21"/>
    </row>
    <row r="82" spans="1:2" x14ac:dyDescent="0.25">
      <c r="A82" s="347" t="s">
        <v>365</v>
      </c>
      <c r="B82" s="21"/>
    </row>
    <row r="83" spans="1:2" x14ac:dyDescent="0.25">
      <c r="A83" s="270" t="s">
        <v>248</v>
      </c>
      <c r="B83" s="21"/>
    </row>
    <row r="84" spans="1:2" x14ac:dyDescent="0.25">
      <c r="A84" s="270" t="s">
        <v>249</v>
      </c>
      <c r="B84" s="21"/>
    </row>
    <row r="85" spans="1:2" x14ac:dyDescent="0.25">
      <c r="A85" s="347" t="s">
        <v>229</v>
      </c>
      <c r="B85" s="21"/>
    </row>
    <row r="86" spans="1:2" x14ac:dyDescent="0.25">
      <c r="A86" s="343" t="s">
        <v>251</v>
      </c>
      <c r="B86" s="21"/>
    </row>
    <row r="87" spans="1:2" ht="45" x14ac:dyDescent="0.25">
      <c r="A87" s="348" t="s">
        <v>252</v>
      </c>
      <c r="B87" s="21"/>
    </row>
    <row r="88" spans="1:2" x14ac:dyDescent="0.25">
      <c r="A88" s="272" t="s">
        <v>253</v>
      </c>
      <c r="B88" s="21"/>
    </row>
    <row r="89" spans="1:2" x14ac:dyDescent="0.25">
      <c r="A89" s="272" t="s">
        <v>242</v>
      </c>
      <c r="B89" s="21"/>
    </row>
    <row r="90" spans="1:2" x14ac:dyDescent="0.25">
      <c r="A90" s="272" t="s">
        <v>254</v>
      </c>
      <c r="B90" s="21"/>
    </row>
    <row r="91" spans="1:2" x14ac:dyDescent="0.25">
      <c r="A91" s="272" t="s">
        <v>255</v>
      </c>
      <c r="B91" s="21"/>
    </row>
    <row r="92" spans="1:2" x14ac:dyDescent="0.25">
      <c r="A92" s="272" t="s">
        <v>256</v>
      </c>
      <c r="B92" s="21"/>
    </row>
    <row r="93" spans="1:2" x14ac:dyDescent="0.25">
      <c r="A93" s="272" t="s">
        <v>257</v>
      </c>
      <c r="B93" s="21"/>
    </row>
    <row r="94" spans="1:2" x14ac:dyDescent="0.25">
      <c r="A94" s="272" t="s">
        <v>258</v>
      </c>
      <c r="B94" s="21"/>
    </row>
    <row r="95" spans="1:2" x14ac:dyDescent="0.25">
      <c r="A95" s="272" t="s">
        <v>259</v>
      </c>
      <c r="B95" s="21"/>
    </row>
    <row r="96" spans="1:2" x14ac:dyDescent="0.25">
      <c r="A96" s="272" t="s">
        <v>239</v>
      </c>
      <c r="B96" s="21"/>
    </row>
    <row r="97" spans="1:2" x14ac:dyDescent="0.25">
      <c r="A97" s="272" t="s">
        <v>260</v>
      </c>
      <c r="B97" s="21"/>
    </row>
    <row r="98" spans="1:2" x14ac:dyDescent="0.25">
      <c r="A98" s="272" t="s">
        <v>261</v>
      </c>
      <c r="B98" s="21"/>
    </row>
    <row r="99" spans="1:2" x14ac:dyDescent="0.25">
      <c r="A99" s="348" t="s">
        <v>262</v>
      </c>
      <c r="B99" s="21"/>
    </row>
    <row r="100" spans="1:2" x14ac:dyDescent="0.25">
      <c r="A100" s="272" t="s">
        <v>263</v>
      </c>
      <c r="B100" s="21"/>
    </row>
    <row r="101" spans="1:2" x14ac:dyDescent="0.25">
      <c r="A101" s="272" t="s">
        <v>264</v>
      </c>
      <c r="B101" s="21"/>
    </row>
    <row r="102" spans="1:2" ht="22.5" x14ac:dyDescent="0.25">
      <c r="A102" s="272" t="s">
        <v>265</v>
      </c>
      <c r="B102" s="21"/>
    </row>
    <row r="103" spans="1:2" x14ac:dyDescent="0.25">
      <c r="A103" s="346" t="s">
        <v>366</v>
      </c>
      <c r="B103" s="21"/>
    </row>
    <row r="104" spans="1:2" x14ac:dyDescent="0.25">
      <c r="A104" s="26"/>
    </row>
  </sheetData>
  <mergeCells count="3">
    <mergeCell ref="A2:B2"/>
    <mergeCell ref="A3:B3"/>
    <mergeCell ref="A1:B1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tabColor rgb="FF00B0F0"/>
  </sheetPr>
  <dimension ref="A1:B25"/>
  <sheetViews>
    <sheetView workbookViewId="0">
      <selection activeCell="E6" sqref="E6"/>
    </sheetView>
  </sheetViews>
  <sheetFormatPr defaultRowHeight="15" x14ac:dyDescent="0.25"/>
  <cols>
    <col min="1" max="1" width="39.140625" customWidth="1"/>
    <col min="2" max="2" width="21.42578125" customWidth="1"/>
  </cols>
  <sheetData>
    <row r="1" spans="1:2" ht="18" x14ac:dyDescent="0.25">
      <c r="A1" s="34" t="s">
        <v>469</v>
      </c>
      <c r="B1" s="2"/>
    </row>
    <row r="2" spans="1:2" x14ac:dyDescent="0.25">
      <c r="A2" s="253" t="s">
        <v>896</v>
      </c>
      <c r="B2" s="253"/>
    </row>
    <row r="3" spans="1:2" x14ac:dyDescent="0.25">
      <c r="A3" s="262" t="s">
        <v>587</v>
      </c>
      <c r="B3" s="262"/>
    </row>
    <row r="4" spans="1:2" x14ac:dyDescent="0.25">
      <c r="A4" s="296" t="s">
        <v>3</v>
      </c>
      <c r="B4" s="296" t="s">
        <v>4</v>
      </c>
    </row>
    <row r="5" spans="1:2" ht="22.5" x14ac:dyDescent="0.25">
      <c r="A5" s="5" t="s">
        <v>470</v>
      </c>
      <c r="B5" s="134">
        <v>5</v>
      </c>
    </row>
    <row r="6" spans="1:2" ht="22.5" x14ac:dyDescent="0.25">
      <c r="A6" s="5" t="s">
        <v>471</v>
      </c>
      <c r="B6" s="134">
        <v>8156</v>
      </c>
    </row>
    <row r="7" spans="1:2" x14ac:dyDescent="0.25">
      <c r="A7" s="6" t="s">
        <v>472</v>
      </c>
      <c r="B7" s="134">
        <v>8156</v>
      </c>
    </row>
    <row r="8" spans="1:2" ht="22.5" x14ac:dyDescent="0.25">
      <c r="A8" s="5" t="s">
        <v>473</v>
      </c>
      <c r="B8" s="134">
        <v>2217</v>
      </c>
    </row>
    <row r="9" spans="1:2" x14ac:dyDescent="0.25">
      <c r="A9" s="6" t="s">
        <v>472</v>
      </c>
      <c r="B9" s="134">
        <v>2217</v>
      </c>
    </row>
    <row r="10" spans="1:2" x14ac:dyDescent="0.25">
      <c r="A10" s="12" t="s">
        <v>485</v>
      </c>
      <c r="B10" s="134"/>
    </row>
    <row r="11" spans="1:2" x14ac:dyDescent="0.25">
      <c r="A11" s="13" t="s">
        <v>486</v>
      </c>
      <c r="B11" s="134"/>
    </row>
    <row r="12" spans="1:2" x14ac:dyDescent="0.25">
      <c r="A12" s="5" t="s">
        <v>474</v>
      </c>
      <c r="B12" s="134">
        <v>0</v>
      </c>
    </row>
    <row r="13" spans="1:2" x14ac:dyDescent="0.25">
      <c r="A13" s="6" t="s">
        <v>475</v>
      </c>
      <c r="B13" s="134">
        <v>0</v>
      </c>
    </row>
    <row r="14" spans="1:2" x14ac:dyDescent="0.25">
      <c r="A14" s="5" t="s">
        <v>476</v>
      </c>
      <c r="B14" s="134">
        <v>0</v>
      </c>
    </row>
    <row r="15" spans="1:2" ht="22.5" x14ac:dyDescent="0.25">
      <c r="A15" s="6" t="s">
        <v>477</v>
      </c>
      <c r="B15" s="134">
        <v>0</v>
      </c>
    </row>
    <row r="16" spans="1:2" ht="22.5" x14ac:dyDescent="0.25">
      <c r="A16" s="5" t="s">
        <v>478</v>
      </c>
      <c r="B16" s="134"/>
    </row>
    <row r="17" spans="1:2" x14ac:dyDescent="0.25">
      <c r="A17" s="6" t="s">
        <v>479</v>
      </c>
      <c r="B17" s="24"/>
    </row>
    <row r="18" spans="1:2" ht="42" x14ac:dyDescent="0.25">
      <c r="A18" s="7" t="s">
        <v>480</v>
      </c>
      <c r="B18" s="135" t="s">
        <v>746</v>
      </c>
    </row>
    <row r="19" spans="1:2" x14ac:dyDescent="0.25">
      <c r="A19" s="7" t="s">
        <v>481</v>
      </c>
      <c r="B19" s="96"/>
    </row>
    <row r="20" spans="1:2" x14ac:dyDescent="0.25">
      <c r="A20" s="7" t="s">
        <v>482</v>
      </c>
      <c r="B20" s="96"/>
    </row>
    <row r="21" spans="1:2" ht="42" x14ac:dyDescent="0.25">
      <c r="A21" s="5" t="s">
        <v>483</v>
      </c>
      <c r="B21" s="135" t="s">
        <v>747</v>
      </c>
    </row>
    <row r="22" spans="1:2" x14ac:dyDescent="0.25">
      <c r="A22" s="5" t="s">
        <v>484</v>
      </c>
      <c r="B22" s="96"/>
    </row>
    <row r="23" spans="1:2" ht="14.25" customHeight="1" x14ac:dyDescent="0.25">
      <c r="A23" s="68" t="s">
        <v>572</v>
      </c>
      <c r="B23" s="96"/>
    </row>
    <row r="24" spans="1:2" ht="84.75" customHeight="1" x14ac:dyDescent="0.25">
      <c r="A24" s="69" t="s">
        <v>573</v>
      </c>
      <c r="B24" s="96" t="s">
        <v>748</v>
      </c>
    </row>
    <row r="25" spans="1:2" ht="45" customHeight="1" x14ac:dyDescent="0.25">
      <c r="A25" s="69" t="s">
        <v>574</v>
      </c>
      <c r="B25" s="67"/>
    </row>
  </sheetData>
  <mergeCells count="2">
    <mergeCell ref="A2:B2"/>
    <mergeCell ref="A3:B3"/>
  </mergeCells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tabColor rgb="FF00B0F0"/>
  </sheetPr>
  <dimension ref="A1:E48"/>
  <sheetViews>
    <sheetView workbookViewId="0">
      <selection activeCell="H10" sqref="H10"/>
    </sheetView>
  </sheetViews>
  <sheetFormatPr defaultRowHeight="15" x14ac:dyDescent="0.25"/>
  <cols>
    <col min="1" max="1" width="5.85546875" customWidth="1"/>
    <col min="2" max="2" width="25.7109375" customWidth="1"/>
    <col min="3" max="3" width="17.85546875" customWidth="1"/>
    <col min="4" max="4" width="19.28515625" customWidth="1"/>
    <col min="5" max="5" width="12.28515625" customWidth="1"/>
  </cols>
  <sheetData>
    <row r="1" spans="1:5" x14ac:dyDescent="0.25">
      <c r="A1" s="268" t="s">
        <v>367</v>
      </c>
      <c r="B1" s="269"/>
      <c r="C1" s="269"/>
      <c r="D1" s="269"/>
      <c r="E1" s="269"/>
    </row>
    <row r="2" spans="1:5" x14ac:dyDescent="0.25">
      <c r="A2" s="354" t="s">
        <v>450</v>
      </c>
      <c r="B2" s="355"/>
      <c r="C2" s="355"/>
      <c r="D2" s="355"/>
      <c r="E2" s="355"/>
    </row>
    <row r="3" spans="1:5" x14ac:dyDescent="0.25">
      <c r="A3" s="359" t="s">
        <v>368</v>
      </c>
      <c r="B3" s="359"/>
      <c r="C3" s="359"/>
      <c r="D3" s="359"/>
      <c r="E3" s="359"/>
    </row>
    <row r="4" spans="1:5" ht="25.5" x14ac:dyDescent="0.25">
      <c r="A4" s="349" t="s">
        <v>369</v>
      </c>
      <c r="B4" s="356" t="s">
        <v>159</v>
      </c>
      <c r="C4" s="357" t="s">
        <v>448</v>
      </c>
      <c r="D4" s="357" t="s">
        <v>449</v>
      </c>
      <c r="E4" s="358" t="s">
        <v>370</v>
      </c>
    </row>
    <row r="5" spans="1:5" x14ac:dyDescent="0.25">
      <c r="A5" s="351"/>
      <c r="B5" s="352"/>
      <c r="C5" s="353" t="s">
        <v>371</v>
      </c>
      <c r="D5" s="353" t="s">
        <v>372</v>
      </c>
      <c r="E5" s="350"/>
    </row>
    <row r="6" spans="1:5" x14ac:dyDescent="0.25">
      <c r="A6" s="33">
        <v>1</v>
      </c>
      <c r="B6" s="57">
        <v>2</v>
      </c>
      <c r="C6" s="53">
        <v>4</v>
      </c>
      <c r="D6" s="53">
        <v>7</v>
      </c>
      <c r="E6" s="54">
        <v>8</v>
      </c>
    </row>
    <row r="7" spans="1:5" x14ac:dyDescent="0.25">
      <c r="A7" s="27"/>
      <c r="B7" s="58" t="s">
        <v>373</v>
      </c>
      <c r="C7" s="55"/>
      <c r="D7" s="107"/>
      <c r="E7" s="56"/>
    </row>
    <row r="8" spans="1:5" ht="22.5" x14ac:dyDescent="0.25">
      <c r="A8" s="29" t="s">
        <v>374</v>
      </c>
      <c r="B8" s="59" t="s">
        <v>375</v>
      </c>
      <c r="C8" s="107">
        <v>602310.87</v>
      </c>
      <c r="D8" s="107">
        <v>578091.93857</v>
      </c>
      <c r="E8" s="110">
        <f>D8*100/C8</f>
        <v>95.978998116039321</v>
      </c>
    </row>
    <row r="9" spans="1:5" x14ac:dyDescent="0.25">
      <c r="A9" s="29" t="s">
        <v>376</v>
      </c>
      <c r="B9" s="60" t="s">
        <v>377</v>
      </c>
      <c r="C9" s="107">
        <v>353282.93900000001</v>
      </c>
      <c r="D9" s="107">
        <v>362790.92706000002</v>
      </c>
      <c r="E9" s="110">
        <f t="shared" ref="E9:E48" si="0">D9*100/C9</f>
        <v>102.69132386831734</v>
      </c>
    </row>
    <row r="10" spans="1:5" ht="22.5" x14ac:dyDescent="0.25">
      <c r="A10" s="29" t="s">
        <v>378</v>
      </c>
      <c r="B10" s="60" t="s">
        <v>379</v>
      </c>
      <c r="C10" s="107"/>
      <c r="D10" s="107">
        <v>580.36296000000004</v>
      </c>
      <c r="E10" s="110"/>
    </row>
    <row r="11" spans="1:5" x14ac:dyDescent="0.25">
      <c r="A11" s="29" t="s">
        <v>380</v>
      </c>
      <c r="B11" s="60" t="s">
        <v>381</v>
      </c>
      <c r="C11" s="107">
        <v>138028.65400000001</v>
      </c>
      <c r="D11" s="107">
        <v>137520.58369999999</v>
      </c>
      <c r="E11" s="110">
        <f t="shared" si="0"/>
        <v>99.631909545390471</v>
      </c>
    </row>
    <row r="12" spans="1:5" ht="33.75" x14ac:dyDescent="0.25">
      <c r="A12" s="29" t="s">
        <v>382</v>
      </c>
      <c r="B12" s="60" t="s">
        <v>383</v>
      </c>
      <c r="C12" s="107"/>
      <c r="D12" s="108"/>
      <c r="E12" s="110"/>
    </row>
    <row r="13" spans="1:5" x14ac:dyDescent="0.25">
      <c r="A13" s="29" t="s">
        <v>384</v>
      </c>
      <c r="B13" s="60" t="s">
        <v>385</v>
      </c>
      <c r="C13" s="107">
        <v>121.5</v>
      </c>
      <c r="D13" s="107">
        <v>214.4</v>
      </c>
      <c r="E13" s="110">
        <f t="shared" si="0"/>
        <v>176.46090534979425</v>
      </c>
    </row>
    <row r="14" spans="1:5" ht="22.5" x14ac:dyDescent="0.25">
      <c r="A14" s="29" t="s">
        <v>386</v>
      </c>
      <c r="B14" s="60" t="s">
        <v>387</v>
      </c>
      <c r="C14" s="107">
        <v>104260.228</v>
      </c>
      <c r="D14" s="107">
        <v>70250.873579999999</v>
      </c>
      <c r="E14" s="110">
        <f t="shared" si="0"/>
        <v>67.380318389482127</v>
      </c>
    </row>
    <row r="15" spans="1:5" ht="22.5" x14ac:dyDescent="0.25">
      <c r="A15" s="29" t="s">
        <v>388</v>
      </c>
      <c r="B15" s="60" t="s">
        <v>389</v>
      </c>
      <c r="C15" s="107"/>
      <c r="D15" s="107"/>
      <c r="E15" s="110"/>
    </row>
    <row r="16" spans="1:5" ht="33.75" x14ac:dyDescent="0.25">
      <c r="A16" s="29" t="s">
        <v>390</v>
      </c>
      <c r="B16" s="60" t="s">
        <v>391</v>
      </c>
      <c r="C16" s="107">
        <v>1336.1373000000001</v>
      </c>
      <c r="D16" s="107">
        <v>3175.9924099999998</v>
      </c>
      <c r="E16" s="110">
        <f t="shared" si="0"/>
        <v>237.69955452931367</v>
      </c>
    </row>
    <row r="17" spans="1:5" ht="33.75" x14ac:dyDescent="0.25">
      <c r="A17" s="29" t="s">
        <v>392</v>
      </c>
      <c r="B17" s="60" t="s">
        <v>393</v>
      </c>
      <c r="C17" s="107">
        <v>1188.21641</v>
      </c>
      <c r="D17" s="107">
        <v>2423.19254</v>
      </c>
      <c r="E17" s="110">
        <f t="shared" si="0"/>
        <v>203.93528650222902</v>
      </c>
    </row>
    <row r="18" spans="1:5" ht="22.5" x14ac:dyDescent="0.25">
      <c r="A18" s="29" t="s">
        <v>394</v>
      </c>
      <c r="B18" s="60" t="s">
        <v>395</v>
      </c>
      <c r="C18" s="107">
        <v>3393.29124</v>
      </c>
      <c r="D18" s="107">
        <v>1105.24773</v>
      </c>
      <c r="E18" s="110">
        <f t="shared" si="0"/>
        <v>32.571555219645688</v>
      </c>
    </row>
    <row r="19" spans="1:5" x14ac:dyDescent="0.25">
      <c r="A19" s="29" t="s">
        <v>396</v>
      </c>
      <c r="B19" s="60" t="s">
        <v>397</v>
      </c>
      <c r="C19" s="107"/>
      <c r="D19" s="107">
        <v>22.786819999999999</v>
      </c>
      <c r="E19" s="110"/>
    </row>
    <row r="20" spans="1:5" ht="33.75" x14ac:dyDescent="0.25">
      <c r="A20" s="29" t="s">
        <v>398</v>
      </c>
      <c r="B20" s="60" t="s">
        <v>399</v>
      </c>
      <c r="C20" s="107">
        <f>C24+C25+C26</f>
        <v>229612.32021000001</v>
      </c>
      <c r="D20" s="107">
        <f>D24+D25+D26</f>
        <v>195868.34742000001</v>
      </c>
      <c r="E20" s="110">
        <f t="shared" si="0"/>
        <v>85.303936322259062</v>
      </c>
    </row>
    <row r="21" spans="1:5" x14ac:dyDescent="0.25">
      <c r="A21" s="29"/>
      <c r="B21" s="60" t="s">
        <v>93</v>
      </c>
      <c r="C21" s="107"/>
      <c r="D21" s="107"/>
      <c r="E21" s="110"/>
    </row>
    <row r="22" spans="1:5" ht="33.75" x14ac:dyDescent="0.25">
      <c r="A22" s="29" t="s">
        <v>400</v>
      </c>
      <c r="B22" s="60" t="s">
        <v>401</v>
      </c>
      <c r="C22" s="107"/>
      <c r="D22" s="107"/>
      <c r="E22" s="110"/>
    </row>
    <row r="23" spans="1:5" ht="45" x14ac:dyDescent="0.25">
      <c r="A23" s="29" t="s">
        <v>402</v>
      </c>
      <c r="B23" s="60" t="s">
        <v>403</v>
      </c>
      <c r="C23" s="107"/>
      <c r="D23" s="107"/>
      <c r="E23" s="110"/>
    </row>
    <row r="24" spans="1:5" ht="22.5" x14ac:dyDescent="0.25">
      <c r="A24" s="29" t="s">
        <v>404</v>
      </c>
      <c r="B24" s="60" t="s">
        <v>405</v>
      </c>
      <c r="C24" s="107">
        <f>25300+3158.2693+3000+10.84457</f>
        <v>31469.113870000001</v>
      </c>
      <c r="D24" s="107">
        <f>30905.0791+4185+150.306</f>
        <v>35240.3851</v>
      </c>
      <c r="E24" s="110">
        <f t="shared" si="0"/>
        <v>111.98404011494969</v>
      </c>
    </row>
    <row r="25" spans="1:5" ht="33.75" x14ac:dyDescent="0.25">
      <c r="A25" s="29" t="s">
        <v>406</v>
      </c>
      <c r="B25" s="60" t="s">
        <v>407</v>
      </c>
      <c r="C25" s="107">
        <v>173</v>
      </c>
      <c r="D25" s="109">
        <v>1076.94</v>
      </c>
      <c r="E25" s="110">
        <f t="shared" si="0"/>
        <v>622.50867052023125</v>
      </c>
    </row>
    <row r="26" spans="1:5" ht="22.5" x14ac:dyDescent="0.25">
      <c r="A26" s="29" t="s">
        <v>408</v>
      </c>
      <c r="B26" s="60" t="s">
        <v>409</v>
      </c>
      <c r="C26" s="107">
        <v>197970.20634</v>
      </c>
      <c r="D26" s="107">
        <v>159551.02231999999</v>
      </c>
      <c r="E26" s="110">
        <f t="shared" si="0"/>
        <v>80.593451544916945</v>
      </c>
    </row>
    <row r="27" spans="1:5" ht="101.25" x14ac:dyDescent="0.25">
      <c r="A27" s="29" t="s">
        <v>410</v>
      </c>
      <c r="B27" s="61" t="s">
        <v>411</v>
      </c>
      <c r="C27" s="107"/>
      <c r="D27" s="107"/>
      <c r="E27" s="110"/>
    </row>
    <row r="28" spans="1:5" ht="33.75" x14ac:dyDescent="0.25">
      <c r="A28" s="29" t="s">
        <v>412</v>
      </c>
      <c r="B28" s="61" t="s">
        <v>413</v>
      </c>
      <c r="C28" s="107"/>
      <c r="D28" s="107"/>
      <c r="E28" s="110"/>
    </row>
    <row r="29" spans="1:5" ht="22.5" x14ac:dyDescent="0.25">
      <c r="A29" s="29" t="s">
        <v>414</v>
      </c>
      <c r="B29" s="60" t="s">
        <v>415</v>
      </c>
      <c r="C29" s="107">
        <v>284595</v>
      </c>
      <c r="D29" s="107">
        <v>385920</v>
      </c>
      <c r="E29" s="110">
        <f t="shared" si="0"/>
        <v>135.60322563643072</v>
      </c>
    </row>
    <row r="30" spans="1:5" ht="45" x14ac:dyDescent="0.25">
      <c r="A30" s="29" t="s">
        <v>416</v>
      </c>
      <c r="B30" s="60" t="s">
        <v>417</v>
      </c>
      <c r="C30" s="107">
        <v>-13533.801750000001</v>
      </c>
      <c r="D30" s="107">
        <v>-14528.75382</v>
      </c>
      <c r="E30" s="110">
        <f t="shared" si="0"/>
        <v>107.35160813183923</v>
      </c>
    </row>
    <row r="31" spans="1:5" ht="15.75" x14ac:dyDescent="0.25">
      <c r="A31" s="30"/>
      <c r="B31" s="62" t="s">
        <v>418</v>
      </c>
      <c r="C31" s="111">
        <f>C30+C29+C20+C8</f>
        <v>1102984.38846</v>
      </c>
      <c r="D31" s="111">
        <f>D30+D29+D20+D8</f>
        <v>1145351.53217</v>
      </c>
      <c r="E31" s="110">
        <f t="shared" si="0"/>
        <v>103.8411372049566</v>
      </c>
    </row>
    <row r="32" spans="1:5" x14ac:dyDescent="0.25">
      <c r="A32" s="31"/>
      <c r="B32" s="63" t="s">
        <v>419</v>
      </c>
      <c r="C32" s="107">
        <f>C31-C48</f>
        <v>74686.987900000182</v>
      </c>
      <c r="D32" s="107">
        <f>D31-D48</f>
        <v>86521.629819999915</v>
      </c>
      <c r="E32" s="110">
        <f t="shared" si="0"/>
        <v>115.84565431376797</v>
      </c>
    </row>
    <row r="33" spans="1:5" x14ac:dyDescent="0.25">
      <c r="A33" s="32"/>
      <c r="B33" s="28" t="s">
        <v>420</v>
      </c>
      <c r="C33" s="107"/>
      <c r="D33" s="107"/>
      <c r="E33" s="110"/>
    </row>
    <row r="34" spans="1:5" x14ac:dyDescent="0.25">
      <c r="A34" s="32" t="s">
        <v>421</v>
      </c>
      <c r="B34" s="60" t="s">
        <v>422</v>
      </c>
      <c r="C34" s="107">
        <v>158717.29988999999</v>
      </c>
      <c r="D34" s="107">
        <v>185047.96952000001</v>
      </c>
      <c r="E34" s="110">
        <f t="shared" si="0"/>
        <v>116.58966580722368</v>
      </c>
    </row>
    <row r="35" spans="1:5" x14ac:dyDescent="0.25">
      <c r="A35" s="32" t="s">
        <v>423</v>
      </c>
      <c r="B35" s="60" t="s">
        <v>424</v>
      </c>
      <c r="C35" s="107"/>
      <c r="D35" s="107"/>
      <c r="E35" s="110"/>
    </row>
    <row r="36" spans="1:5" ht="33.75" x14ac:dyDescent="0.25">
      <c r="A36" s="32" t="s">
        <v>425</v>
      </c>
      <c r="B36" s="60" t="s">
        <v>426</v>
      </c>
      <c r="C36" s="107">
        <v>7186.3368899999996</v>
      </c>
      <c r="D36" s="107">
        <v>5228.6137399999998</v>
      </c>
      <c r="E36" s="110">
        <f t="shared" si="0"/>
        <v>72.757704238382843</v>
      </c>
    </row>
    <row r="37" spans="1:5" x14ac:dyDescent="0.25">
      <c r="A37" s="32" t="s">
        <v>427</v>
      </c>
      <c r="B37" s="60" t="s">
        <v>428</v>
      </c>
      <c r="C37" s="107">
        <v>228255.38357999999</v>
      </c>
      <c r="D37" s="107">
        <v>182366.36113999999</v>
      </c>
      <c r="E37" s="110">
        <f t="shared" si="0"/>
        <v>79.895754605973352</v>
      </c>
    </row>
    <row r="38" spans="1:5" ht="22.5" x14ac:dyDescent="0.25">
      <c r="A38" s="32" t="s">
        <v>429</v>
      </c>
      <c r="B38" s="60" t="s">
        <v>430</v>
      </c>
      <c r="C38" s="107">
        <v>366244.87735000002</v>
      </c>
      <c r="D38" s="107">
        <v>585543.66417</v>
      </c>
      <c r="E38" s="110">
        <f t="shared" si="0"/>
        <v>159.87763935614811</v>
      </c>
    </row>
    <row r="39" spans="1:5" x14ac:dyDescent="0.25">
      <c r="A39" s="32" t="s">
        <v>431</v>
      </c>
      <c r="B39" s="60" t="s">
        <v>432</v>
      </c>
      <c r="C39" s="107"/>
      <c r="D39" s="107"/>
      <c r="E39" s="110"/>
    </row>
    <row r="40" spans="1:5" x14ac:dyDescent="0.25">
      <c r="A40" s="32" t="s">
        <v>433</v>
      </c>
      <c r="B40" s="60" t="s">
        <v>56</v>
      </c>
      <c r="C40" s="107">
        <v>2695.63</v>
      </c>
      <c r="D40" s="107">
        <v>1738.1071999999999</v>
      </c>
      <c r="E40" s="110">
        <f t="shared" si="0"/>
        <v>64.478700711892955</v>
      </c>
    </row>
    <row r="41" spans="1:5" x14ac:dyDescent="0.25">
      <c r="A41" s="32" t="s">
        <v>434</v>
      </c>
      <c r="B41" s="60" t="s">
        <v>435</v>
      </c>
      <c r="C41" s="107">
        <v>16994.19082</v>
      </c>
      <c r="D41" s="107">
        <v>19617.520120000001</v>
      </c>
      <c r="E41" s="110">
        <f t="shared" si="0"/>
        <v>115.43662377212263</v>
      </c>
    </row>
    <row r="42" spans="1:5" x14ac:dyDescent="0.25">
      <c r="A42" s="32" t="s">
        <v>436</v>
      </c>
      <c r="B42" s="60" t="s">
        <v>60</v>
      </c>
      <c r="C42" s="107"/>
      <c r="D42" s="107"/>
      <c r="E42" s="110"/>
    </row>
    <row r="43" spans="1:5" x14ac:dyDescent="0.25">
      <c r="A43" s="32" t="s">
        <v>437</v>
      </c>
      <c r="B43" s="60" t="s">
        <v>438</v>
      </c>
      <c r="C43" s="107">
        <v>179063.70759999999</v>
      </c>
      <c r="D43" s="107">
        <v>12897.675160000001</v>
      </c>
      <c r="E43" s="110">
        <f t="shared" si="0"/>
        <v>7.2028415656462155</v>
      </c>
    </row>
    <row r="44" spans="1:5" x14ac:dyDescent="0.25">
      <c r="A44" s="32" t="s">
        <v>439</v>
      </c>
      <c r="B44" s="60" t="s">
        <v>440</v>
      </c>
      <c r="C44" s="107">
        <v>47401.437940000003</v>
      </c>
      <c r="D44" s="107">
        <v>43983.780590000002</v>
      </c>
      <c r="E44" s="110">
        <f t="shared" si="0"/>
        <v>92.789971151664176</v>
      </c>
    </row>
    <row r="45" spans="1:5" ht="22.5" x14ac:dyDescent="0.25">
      <c r="A45" s="32" t="s">
        <v>441</v>
      </c>
      <c r="B45" s="60" t="s">
        <v>442</v>
      </c>
      <c r="C45" s="107">
        <v>4335.8724700000002</v>
      </c>
      <c r="D45" s="107">
        <v>3413.6423100000002</v>
      </c>
      <c r="E45" s="110">
        <f t="shared" si="0"/>
        <v>78.730228659146889</v>
      </c>
    </row>
    <row r="46" spans="1:5" ht="33.75" x14ac:dyDescent="0.25">
      <c r="A46" s="32" t="s">
        <v>443</v>
      </c>
      <c r="B46" s="60" t="s">
        <v>444</v>
      </c>
      <c r="C46" s="107"/>
      <c r="D46" s="107"/>
      <c r="E46" s="110"/>
    </row>
    <row r="47" spans="1:5" ht="33.75" x14ac:dyDescent="0.25">
      <c r="A47" s="32" t="s">
        <v>445</v>
      </c>
      <c r="B47" s="60" t="s">
        <v>446</v>
      </c>
      <c r="C47" s="107">
        <v>17402.66402</v>
      </c>
      <c r="D47" s="107">
        <v>18992.5684</v>
      </c>
      <c r="E47" s="110">
        <f t="shared" si="0"/>
        <v>109.1359827332919</v>
      </c>
    </row>
    <row r="48" spans="1:5" ht="15.75" x14ac:dyDescent="0.25">
      <c r="A48" s="30"/>
      <c r="B48" s="62" t="s">
        <v>447</v>
      </c>
      <c r="C48" s="111">
        <f>C34+C36+C37+C38+C40+C41+C43+C44+C45+C47</f>
        <v>1028297.4005599999</v>
      </c>
      <c r="D48" s="111">
        <f>D34+D36+D37+D38+D40+D41+D43+D44+D45+D47</f>
        <v>1058829.9023500001</v>
      </c>
      <c r="E48" s="110">
        <f t="shared" si="0"/>
        <v>102.96922872443056</v>
      </c>
    </row>
  </sheetData>
  <mergeCells count="6">
    <mergeCell ref="A1:E1"/>
    <mergeCell ref="A2:E2"/>
    <mergeCell ref="A4:A5"/>
    <mergeCell ref="B4:B5"/>
    <mergeCell ref="E4:E5"/>
    <mergeCell ref="A3:E3"/>
  </mergeCells>
  <pageMargins left="0.7" right="0.7" top="0.75" bottom="0.75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tabColor rgb="FF00B0F0"/>
  </sheetPr>
  <dimension ref="A1:B11"/>
  <sheetViews>
    <sheetView workbookViewId="0">
      <selection activeCell="H8" sqref="H8"/>
    </sheetView>
  </sheetViews>
  <sheetFormatPr defaultRowHeight="15" x14ac:dyDescent="0.25"/>
  <cols>
    <col min="1" max="1" width="60" customWidth="1"/>
    <col min="2" max="2" width="46.85546875" customWidth="1"/>
    <col min="7" max="7" width="9.140625" customWidth="1"/>
  </cols>
  <sheetData>
    <row r="1" spans="1:2" ht="18" x14ac:dyDescent="0.25">
      <c r="A1" s="71" t="s">
        <v>589</v>
      </c>
      <c r="B1" s="2"/>
    </row>
    <row r="2" spans="1:2" x14ac:dyDescent="0.25">
      <c r="A2" s="253" t="s">
        <v>896</v>
      </c>
      <c r="B2" s="253"/>
    </row>
    <row r="3" spans="1:2" x14ac:dyDescent="0.25">
      <c r="A3" s="262" t="s">
        <v>587</v>
      </c>
      <c r="B3" s="262"/>
    </row>
    <row r="4" spans="1:2" x14ac:dyDescent="0.25">
      <c r="A4" s="296" t="s">
        <v>3</v>
      </c>
      <c r="B4" s="296" t="s">
        <v>592</v>
      </c>
    </row>
    <row r="5" spans="1:2" ht="30" x14ac:dyDescent="0.25">
      <c r="A5" s="73" t="s">
        <v>579</v>
      </c>
      <c r="B5" s="52">
        <v>13</v>
      </c>
    </row>
    <row r="6" spans="1:2" x14ac:dyDescent="0.25">
      <c r="A6" s="74" t="s">
        <v>575</v>
      </c>
      <c r="B6" s="52">
        <v>4</v>
      </c>
    </row>
    <row r="7" spans="1:2" x14ac:dyDescent="0.25">
      <c r="A7" s="74" t="s">
        <v>576</v>
      </c>
      <c r="B7" s="52">
        <v>1</v>
      </c>
    </row>
    <row r="8" spans="1:2" ht="30" x14ac:dyDescent="0.25">
      <c r="A8" s="74" t="s">
        <v>577</v>
      </c>
      <c r="B8" s="52">
        <v>3</v>
      </c>
    </row>
    <row r="9" spans="1:2" ht="45" x14ac:dyDescent="0.25">
      <c r="A9" s="74" t="s">
        <v>578</v>
      </c>
      <c r="B9" s="52">
        <v>5</v>
      </c>
    </row>
    <row r="10" spans="1:2" x14ac:dyDescent="0.25">
      <c r="A10" s="72"/>
    </row>
    <row r="11" spans="1:2" x14ac:dyDescent="0.25">
      <c r="A11" s="72"/>
    </row>
  </sheetData>
  <mergeCells count="2">
    <mergeCell ref="A2:B2"/>
    <mergeCell ref="A3:B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</sheetPr>
  <dimension ref="A1:R52"/>
  <sheetViews>
    <sheetView zoomScaleNormal="100" workbookViewId="0">
      <selection activeCell="A5" sqref="A5:R6"/>
    </sheetView>
  </sheetViews>
  <sheetFormatPr defaultRowHeight="15" x14ac:dyDescent="0.25"/>
  <cols>
    <col min="1" max="1" width="16" customWidth="1"/>
    <col min="2" max="3" width="13.140625" customWidth="1"/>
    <col min="4" max="4" width="15" customWidth="1"/>
    <col min="5" max="6" width="12.28515625" customWidth="1"/>
    <col min="7" max="7" width="16.28515625" customWidth="1"/>
    <col min="8" max="8" width="11.42578125" customWidth="1"/>
    <col min="9" max="10" width="13.42578125" customWidth="1"/>
    <col min="11" max="11" width="14" customWidth="1"/>
    <col min="12" max="14" width="12.28515625" customWidth="1"/>
    <col min="15" max="15" width="12.85546875" customWidth="1"/>
    <col min="16" max="17" width="13.140625" customWidth="1"/>
    <col min="18" max="18" width="12.7109375" customWidth="1"/>
  </cols>
  <sheetData>
    <row r="1" spans="1:18" ht="18" customHeight="1" x14ac:dyDescent="0.25">
      <c r="A1" s="75"/>
      <c r="B1" s="76" t="s">
        <v>59</v>
      </c>
      <c r="C1" s="77"/>
      <c r="D1" s="77"/>
      <c r="E1" s="77"/>
      <c r="F1" s="77"/>
      <c r="G1" s="75"/>
      <c r="H1" s="77"/>
      <c r="I1" s="77"/>
      <c r="J1" s="77"/>
      <c r="K1" s="77"/>
      <c r="L1" s="78"/>
      <c r="M1" s="78"/>
      <c r="N1" s="78"/>
      <c r="O1" s="79"/>
      <c r="P1" s="79"/>
      <c r="Q1" s="79"/>
      <c r="R1" s="79"/>
    </row>
    <row r="2" spans="1:18" ht="18" customHeight="1" x14ac:dyDescent="0.25">
      <c r="A2" s="80"/>
      <c r="B2" s="76" t="s">
        <v>60</v>
      </c>
      <c r="C2" s="77"/>
      <c r="D2" s="77"/>
      <c r="E2" s="77"/>
      <c r="F2" s="77"/>
      <c r="G2" s="80"/>
      <c r="H2" s="77"/>
      <c r="I2" s="77"/>
      <c r="J2" s="77"/>
      <c r="K2" s="77"/>
      <c r="L2" s="78"/>
      <c r="M2" s="78"/>
      <c r="N2" s="78"/>
      <c r="O2" s="79"/>
      <c r="P2" s="79"/>
      <c r="Q2" s="79"/>
      <c r="R2" s="79"/>
    </row>
    <row r="3" spans="1:18" x14ac:dyDescent="0.25">
      <c r="A3" s="80"/>
      <c r="B3" s="81" t="s">
        <v>266</v>
      </c>
      <c r="C3" s="82" t="s">
        <v>743</v>
      </c>
      <c r="D3" s="82"/>
      <c r="E3" s="82"/>
      <c r="F3" s="82"/>
      <c r="G3" s="80"/>
      <c r="H3" s="82"/>
      <c r="I3" s="82"/>
      <c r="J3" s="82"/>
      <c r="K3" s="83"/>
      <c r="L3" s="83"/>
      <c r="M3" s="83"/>
      <c r="N3" s="83"/>
      <c r="O3" s="79"/>
      <c r="P3" s="79"/>
      <c r="Q3" s="79"/>
      <c r="R3" s="79"/>
    </row>
    <row r="4" spans="1:18" ht="15" customHeight="1" x14ac:dyDescent="0.25">
      <c r="A4" s="75"/>
      <c r="B4" s="81" t="s">
        <v>587</v>
      </c>
      <c r="C4" s="82"/>
      <c r="D4" s="82"/>
      <c r="E4" s="82"/>
      <c r="F4" s="82"/>
      <c r="G4" s="75"/>
      <c r="H4" s="82"/>
      <c r="I4" s="82"/>
      <c r="J4" s="82"/>
      <c r="K4" s="83"/>
      <c r="L4" s="83"/>
      <c r="M4" s="83"/>
      <c r="N4" s="83"/>
      <c r="O4" s="79"/>
      <c r="P4" s="79"/>
      <c r="Q4" s="79"/>
      <c r="R4" s="79"/>
    </row>
    <row r="5" spans="1:18" x14ac:dyDescent="0.25">
      <c r="A5" s="290" t="s">
        <v>61</v>
      </c>
      <c r="B5" s="290" t="s">
        <v>62</v>
      </c>
      <c r="C5" s="290"/>
      <c r="D5" s="290"/>
      <c r="E5" s="290"/>
      <c r="F5" s="290"/>
      <c r="G5" s="290"/>
      <c r="H5" s="290"/>
      <c r="I5" s="290"/>
      <c r="J5" s="290"/>
      <c r="K5" s="290"/>
      <c r="L5" s="290"/>
      <c r="M5" s="290"/>
      <c r="N5" s="290"/>
      <c r="O5" s="290"/>
      <c r="P5" s="290"/>
      <c r="Q5" s="290"/>
      <c r="R5" s="290"/>
    </row>
    <row r="6" spans="1:18" ht="146.25" x14ac:dyDescent="0.25">
      <c r="A6" s="290"/>
      <c r="B6" s="297" t="s">
        <v>63</v>
      </c>
      <c r="C6" s="297" t="s">
        <v>492</v>
      </c>
      <c r="D6" s="297" t="s">
        <v>64</v>
      </c>
      <c r="E6" s="297" t="s">
        <v>65</v>
      </c>
      <c r="F6" s="297" t="s">
        <v>493</v>
      </c>
      <c r="G6" s="297" t="s">
        <v>546</v>
      </c>
      <c r="H6" s="297" t="s">
        <v>66</v>
      </c>
      <c r="I6" s="297" t="s">
        <v>67</v>
      </c>
      <c r="J6" s="297" t="s">
        <v>494</v>
      </c>
      <c r="K6" s="297" t="s">
        <v>553</v>
      </c>
      <c r="L6" s="297" t="s">
        <v>69</v>
      </c>
      <c r="M6" s="297" t="s">
        <v>551</v>
      </c>
      <c r="N6" s="297" t="s">
        <v>552</v>
      </c>
      <c r="O6" s="297" t="s">
        <v>70</v>
      </c>
      <c r="P6" s="297" t="s">
        <v>71</v>
      </c>
      <c r="Q6" s="297" t="s">
        <v>554</v>
      </c>
      <c r="R6" s="297" t="s">
        <v>72</v>
      </c>
    </row>
    <row r="7" spans="1:18" ht="30" customHeight="1" x14ac:dyDescent="0.25">
      <c r="A7" s="163" t="s">
        <v>823</v>
      </c>
      <c r="B7" s="164">
        <v>4469.3999999999996</v>
      </c>
      <c r="C7" s="164">
        <v>2115.6999999999998</v>
      </c>
      <c r="D7" s="164">
        <v>16148</v>
      </c>
      <c r="E7" s="165">
        <v>1973</v>
      </c>
      <c r="F7" s="165">
        <v>45.9</v>
      </c>
      <c r="G7" s="166" t="s">
        <v>824</v>
      </c>
      <c r="H7" s="165">
        <v>1</v>
      </c>
      <c r="I7" s="165">
        <v>2</v>
      </c>
      <c r="J7" s="165">
        <v>2004</v>
      </c>
      <c r="K7" s="165">
        <v>1</v>
      </c>
      <c r="L7" s="165">
        <v>1</v>
      </c>
      <c r="M7" s="165">
        <v>1</v>
      </c>
      <c r="N7" s="165">
        <v>1</v>
      </c>
      <c r="O7" s="167" t="s">
        <v>825</v>
      </c>
      <c r="P7" s="167" t="s">
        <v>826</v>
      </c>
      <c r="Q7" s="167" t="s">
        <v>617</v>
      </c>
      <c r="R7" s="165">
        <v>1</v>
      </c>
    </row>
    <row r="8" spans="1:18" ht="38.25" x14ac:dyDescent="0.25">
      <c r="A8" s="163" t="s">
        <v>763</v>
      </c>
      <c r="B8" s="164">
        <v>1828.7</v>
      </c>
      <c r="C8" s="164">
        <v>951.9</v>
      </c>
      <c r="D8" s="164">
        <v>7441</v>
      </c>
      <c r="E8" s="165">
        <v>1969</v>
      </c>
      <c r="F8" s="165">
        <v>50.9</v>
      </c>
      <c r="G8" s="166" t="s">
        <v>827</v>
      </c>
      <c r="H8" s="165">
        <v>1</v>
      </c>
      <c r="I8" s="165">
        <v>2</v>
      </c>
      <c r="J8" s="165">
        <v>2016</v>
      </c>
      <c r="K8" s="165">
        <v>1</v>
      </c>
      <c r="L8" s="165">
        <v>1</v>
      </c>
      <c r="M8" s="165">
        <v>1</v>
      </c>
      <c r="N8" s="165">
        <v>1</v>
      </c>
      <c r="O8" s="167" t="s">
        <v>825</v>
      </c>
      <c r="P8" s="167" t="s">
        <v>826</v>
      </c>
      <c r="Q8" s="167" t="s">
        <v>828</v>
      </c>
      <c r="R8" s="165">
        <v>1</v>
      </c>
    </row>
    <row r="9" spans="1:18" ht="38.25" x14ac:dyDescent="0.25">
      <c r="A9" s="163" t="s">
        <v>762</v>
      </c>
      <c r="B9" s="164">
        <v>438.7</v>
      </c>
      <c r="C9" s="164">
        <v>0</v>
      </c>
      <c r="D9" s="164">
        <v>2144</v>
      </c>
      <c r="E9" s="165">
        <v>1969</v>
      </c>
      <c r="F9" s="165">
        <v>50</v>
      </c>
      <c r="G9" s="166" t="s">
        <v>827</v>
      </c>
      <c r="H9" s="165">
        <v>1</v>
      </c>
      <c r="I9" s="165">
        <v>3</v>
      </c>
      <c r="J9" s="165">
        <v>2014</v>
      </c>
      <c r="K9" s="165">
        <v>1</v>
      </c>
      <c r="L9" s="165">
        <v>1</v>
      </c>
      <c r="M9" s="165">
        <v>1</v>
      </c>
      <c r="N9" s="165">
        <v>1</v>
      </c>
      <c r="O9" s="167" t="s">
        <v>825</v>
      </c>
      <c r="P9" s="167" t="s">
        <v>826</v>
      </c>
      <c r="Q9" s="167" t="s">
        <v>829</v>
      </c>
      <c r="R9" s="165">
        <v>1</v>
      </c>
    </row>
    <row r="10" spans="1:18" ht="38.25" x14ac:dyDescent="0.25">
      <c r="A10" s="163" t="s">
        <v>830</v>
      </c>
      <c r="B10" s="164">
        <v>462.8</v>
      </c>
      <c r="C10" s="164">
        <v>359.9</v>
      </c>
      <c r="D10" s="164">
        <v>2151</v>
      </c>
      <c r="E10" s="165">
        <v>1969</v>
      </c>
      <c r="F10" s="165">
        <v>33</v>
      </c>
      <c r="G10" s="166" t="s">
        <v>831</v>
      </c>
      <c r="H10" s="165">
        <v>1</v>
      </c>
      <c r="I10" s="165">
        <v>2</v>
      </c>
      <c r="J10" s="165">
        <v>2009</v>
      </c>
      <c r="K10" s="165">
        <v>1</v>
      </c>
      <c r="L10" s="165">
        <v>1</v>
      </c>
      <c r="M10" s="165">
        <v>1</v>
      </c>
      <c r="N10" s="165">
        <v>1</v>
      </c>
      <c r="O10" s="167" t="s">
        <v>825</v>
      </c>
      <c r="P10" s="167" t="s">
        <v>826</v>
      </c>
      <c r="Q10" s="167" t="s">
        <v>828</v>
      </c>
      <c r="R10" s="165">
        <v>1</v>
      </c>
    </row>
    <row r="11" spans="1:18" ht="38.25" x14ac:dyDescent="0.25">
      <c r="A11" s="163" t="s">
        <v>766</v>
      </c>
      <c r="B11" s="164">
        <v>553</v>
      </c>
      <c r="C11" s="164">
        <v>292.5</v>
      </c>
      <c r="D11" s="164">
        <v>2483</v>
      </c>
      <c r="E11" s="165">
        <v>1990</v>
      </c>
      <c r="F11" s="165">
        <v>29</v>
      </c>
      <c r="G11" s="166" t="s">
        <v>832</v>
      </c>
      <c r="H11" s="165">
        <v>1</v>
      </c>
      <c r="I11" s="165">
        <v>3</v>
      </c>
      <c r="J11" s="165">
        <v>2004</v>
      </c>
      <c r="K11" s="165">
        <v>1</v>
      </c>
      <c r="L11" s="165">
        <v>1</v>
      </c>
      <c r="M11" s="165">
        <v>1</v>
      </c>
      <c r="N11" s="165">
        <v>1</v>
      </c>
      <c r="O11" s="167" t="s">
        <v>825</v>
      </c>
      <c r="P11" s="167" t="s">
        <v>826</v>
      </c>
      <c r="Q11" s="167" t="s">
        <v>833</v>
      </c>
      <c r="R11" s="165">
        <v>1</v>
      </c>
    </row>
    <row r="12" spans="1:18" ht="38.25" x14ac:dyDescent="0.25">
      <c r="A12" s="163" t="s">
        <v>834</v>
      </c>
      <c r="B12" s="164">
        <v>534.70000000000005</v>
      </c>
      <c r="C12" s="164">
        <v>295.39999999999998</v>
      </c>
      <c r="D12" s="164">
        <v>2441</v>
      </c>
      <c r="E12" s="165">
        <v>1996</v>
      </c>
      <c r="F12" s="165">
        <v>33</v>
      </c>
      <c r="G12" s="166" t="s">
        <v>832</v>
      </c>
      <c r="H12" s="165">
        <v>1</v>
      </c>
      <c r="I12" s="165">
        <v>3</v>
      </c>
      <c r="J12" s="165">
        <v>2008</v>
      </c>
      <c r="K12" s="165">
        <v>1</v>
      </c>
      <c r="L12" s="165">
        <v>1</v>
      </c>
      <c r="M12" s="165">
        <v>1</v>
      </c>
      <c r="N12" s="165">
        <v>1</v>
      </c>
      <c r="O12" s="167" t="s">
        <v>825</v>
      </c>
      <c r="P12" s="167" t="s">
        <v>826</v>
      </c>
      <c r="Q12" s="167" t="s">
        <v>833</v>
      </c>
      <c r="R12" s="165">
        <v>1</v>
      </c>
    </row>
    <row r="13" spans="1:18" ht="38.25" x14ac:dyDescent="0.25">
      <c r="A13" s="163" t="s">
        <v>770</v>
      </c>
      <c r="B13" s="164">
        <v>107.6</v>
      </c>
      <c r="C13" s="164">
        <v>107.6</v>
      </c>
      <c r="D13" s="164">
        <v>545.4</v>
      </c>
      <c r="E13" s="165">
        <v>1974</v>
      </c>
      <c r="F13" s="165">
        <v>45</v>
      </c>
      <c r="G13" s="166" t="s">
        <v>835</v>
      </c>
      <c r="H13" s="165">
        <v>1</v>
      </c>
      <c r="I13" s="165">
        <v>3</v>
      </c>
      <c r="J13" s="165">
        <v>2010</v>
      </c>
      <c r="K13" s="165">
        <v>1</v>
      </c>
      <c r="L13" s="165">
        <v>1</v>
      </c>
      <c r="M13" s="165">
        <v>1</v>
      </c>
      <c r="N13" s="165">
        <v>1</v>
      </c>
      <c r="O13" s="167" t="s">
        <v>825</v>
      </c>
      <c r="P13" s="167" t="s">
        <v>826</v>
      </c>
      <c r="Q13" s="167" t="s">
        <v>745</v>
      </c>
      <c r="R13" s="165">
        <v>1</v>
      </c>
    </row>
    <row r="14" spans="1:18" ht="38.25" x14ac:dyDescent="0.25">
      <c r="A14" s="163" t="s">
        <v>836</v>
      </c>
      <c r="B14" s="164">
        <v>788.9</v>
      </c>
      <c r="C14" s="164">
        <v>376.9</v>
      </c>
      <c r="D14" s="164">
        <v>2472</v>
      </c>
      <c r="E14" s="165">
        <v>2008</v>
      </c>
      <c r="F14" s="165">
        <v>11</v>
      </c>
      <c r="G14" s="166" t="s">
        <v>827</v>
      </c>
      <c r="H14" s="165">
        <v>1</v>
      </c>
      <c r="I14" s="165">
        <v>3</v>
      </c>
      <c r="J14" s="165">
        <v>0</v>
      </c>
      <c r="K14" s="165">
        <v>1</v>
      </c>
      <c r="L14" s="165">
        <v>1</v>
      </c>
      <c r="M14" s="165">
        <v>1</v>
      </c>
      <c r="N14" s="165">
        <v>1</v>
      </c>
      <c r="O14" s="167" t="s">
        <v>825</v>
      </c>
      <c r="P14" s="167" t="s">
        <v>826</v>
      </c>
      <c r="Q14" s="167" t="s">
        <v>374</v>
      </c>
      <c r="R14" s="165">
        <v>1</v>
      </c>
    </row>
    <row r="15" spans="1:18" ht="38.25" x14ac:dyDescent="0.25">
      <c r="A15" s="163" t="s">
        <v>772</v>
      </c>
      <c r="B15" s="164">
        <v>704</v>
      </c>
      <c r="C15" s="164">
        <v>484.5</v>
      </c>
      <c r="D15" s="164">
        <v>2946</v>
      </c>
      <c r="E15" s="165">
        <v>1995</v>
      </c>
      <c r="F15" s="165">
        <v>31</v>
      </c>
      <c r="G15" s="166" t="s">
        <v>835</v>
      </c>
      <c r="H15" s="165">
        <v>1</v>
      </c>
      <c r="I15" s="165">
        <v>3</v>
      </c>
      <c r="J15" s="165">
        <v>2014</v>
      </c>
      <c r="K15" s="165">
        <v>1</v>
      </c>
      <c r="L15" s="165">
        <v>1</v>
      </c>
      <c r="M15" s="165">
        <v>1</v>
      </c>
      <c r="N15" s="165">
        <v>1</v>
      </c>
      <c r="O15" s="167" t="s">
        <v>825</v>
      </c>
      <c r="P15" s="167" t="s">
        <v>826</v>
      </c>
      <c r="Q15" s="167" t="s">
        <v>833</v>
      </c>
      <c r="R15" s="165">
        <v>1</v>
      </c>
    </row>
    <row r="16" spans="1:18" ht="38.25" x14ac:dyDescent="0.25">
      <c r="A16" s="163" t="s">
        <v>775</v>
      </c>
      <c r="B16" s="164">
        <v>4145.3</v>
      </c>
      <c r="C16" s="164">
        <v>1598.1</v>
      </c>
      <c r="D16" s="164">
        <v>17729</v>
      </c>
      <c r="E16" s="165">
        <v>1994</v>
      </c>
      <c r="F16" s="165">
        <v>25</v>
      </c>
      <c r="G16" s="166" t="s">
        <v>824</v>
      </c>
      <c r="H16" s="165">
        <v>1</v>
      </c>
      <c r="I16" s="165">
        <v>2</v>
      </c>
      <c r="J16" s="165">
        <v>0</v>
      </c>
      <c r="K16" s="165">
        <v>1</v>
      </c>
      <c r="L16" s="165">
        <v>1</v>
      </c>
      <c r="M16" s="165">
        <v>1</v>
      </c>
      <c r="N16" s="165">
        <v>1</v>
      </c>
      <c r="O16" s="167" t="s">
        <v>825</v>
      </c>
      <c r="P16" s="167" t="s">
        <v>826</v>
      </c>
      <c r="Q16" s="167" t="s">
        <v>833</v>
      </c>
      <c r="R16" s="165">
        <v>1</v>
      </c>
    </row>
    <row r="17" spans="1:18" ht="38.25" x14ac:dyDescent="0.25">
      <c r="A17" s="163" t="s">
        <v>786</v>
      </c>
      <c r="B17" s="164">
        <v>5125.8999999999996</v>
      </c>
      <c r="C17" s="164">
        <v>2115</v>
      </c>
      <c r="D17" s="164">
        <v>22051</v>
      </c>
      <c r="E17" s="165">
        <v>1999</v>
      </c>
      <c r="F17" s="165">
        <v>20</v>
      </c>
      <c r="G17" s="166" t="s">
        <v>824</v>
      </c>
      <c r="H17" s="165">
        <v>1</v>
      </c>
      <c r="I17" s="165">
        <v>3</v>
      </c>
      <c r="J17" s="165">
        <v>1999</v>
      </c>
      <c r="K17" s="165">
        <v>1</v>
      </c>
      <c r="L17" s="165">
        <v>1</v>
      </c>
      <c r="M17" s="165">
        <v>1</v>
      </c>
      <c r="N17" s="165">
        <v>1</v>
      </c>
      <c r="O17" s="167" t="s">
        <v>825</v>
      </c>
      <c r="P17" s="167" t="s">
        <v>826</v>
      </c>
      <c r="Q17" s="167" t="s">
        <v>617</v>
      </c>
      <c r="R17" s="165">
        <v>1</v>
      </c>
    </row>
    <row r="18" spans="1:18" ht="38.25" x14ac:dyDescent="0.25">
      <c r="A18" s="163" t="s">
        <v>837</v>
      </c>
      <c r="B18" s="164">
        <v>491.7</v>
      </c>
      <c r="C18" s="164">
        <v>221.7</v>
      </c>
      <c r="D18" s="164">
        <v>2229</v>
      </c>
      <c r="E18" s="165">
        <v>2010</v>
      </c>
      <c r="F18" s="165">
        <v>9.5</v>
      </c>
      <c r="G18" s="166" t="s">
        <v>827</v>
      </c>
      <c r="H18" s="165">
        <v>1</v>
      </c>
      <c r="I18" s="165">
        <v>3</v>
      </c>
      <c r="J18" s="165">
        <v>2014</v>
      </c>
      <c r="K18" s="165">
        <v>1</v>
      </c>
      <c r="L18" s="165">
        <v>1</v>
      </c>
      <c r="M18" s="165">
        <v>1</v>
      </c>
      <c r="N18" s="165">
        <v>1</v>
      </c>
      <c r="O18" s="167" t="s">
        <v>825</v>
      </c>
      <c r="P18" s="167" t="s">
        <v>826</v>
      </c>
      <c r="Q18" s="167" t="s">
        <v>838</v>
      </c>
      <c r="R18" s="165">
        <v>1</v>
      </c>
    </row>
    <row r="19" spans="1:18" ht="38.25" x14ac:dyDescent="0.25">
      <c r="A19" s="163" t="s">
        <v>798</v>
      </c>
      <c r="B19" s="164">
        <v>790.2</v>
      </c>
      <c r="C19" s="164">
        <v>335.1</v>
      </c>
      <c r="D19" s="164">
        <v>2876</v>
      </c>
      <c r="E19" s="165">
        <v>1992</v>
      </c>
      <c r="F19" s="165">
        <v>27</v>
      </c>
      <c r="G19" s="166" t="s">
        <v>827</v>
      </c>
      <c r="H19" s="165">
        <v>1</v>
      </c>
      <c r="I19" s="165">
        <v>3</v>
      </c>
      <c r="J19" s="165">
        <v>2004</v>
      </c>
      <c r="K19" s="165">
        <v>1</v>
      </c>
      <c r="L19" s="165">
        <v>1</v>
      </c>
      <c r="M19" s="165">
        <v>1</v>
      </c>
      <c r="N19" s="165">
        <v>1</v>
      </c>
      <c r="O19" s="167" t="s">
        <v>825</v>
      </c>
      <c r="P19" s="167" t="s">
        <v>839</v>
      </c>
      <c r="Q19" s="167" t="s">
        <v>829</v>
      </c>
      <c r="R19" s="165">
        <v>1</v>
      </c>
    </row>
    <row r="20" spans="1:18" ht="38.25" x14ac:dyDescent="0.25">
      <c r="A20" s="163" t="s">
        <v>798</v>
      </c>
      <c r="B20" s="164">
        <v>1023</v>
      </c>
      <c r="C20" s="164">
        <v>429.9</v>
      </c>
      <c r="D20" s="164">
        <v>4109</v>
      </c>
      <c r="E20" s="165">
        <v>1993</v>
      </c>
      <c r="F20" s="165">
        <v>26</v>
      </c>
      <c r="G20" s="166" t="s">
        <v>827</v>
      </c>
      <c r="H20" s="165">
        <v>1</v>
      </c>
      <c r="I20" s="165">
        <v>3</v>
      </c>
      <c r="J20" s="165">
        <v>2004</v>
      </c>
      <c r="K20" s="165">
        <v>1</v>
      </c>
      <c r="L20" s="165">
        <v>1</v>
      </c>
      <c r="M20" s="165">
        <v>1</v>
      </c>
      <c r="N20" s="165">
        <v>1</v>
      </c>
      <c r="O20" s="167" t="s">
        <v>825</v>
      </c>
      <c r="P20" s="167" t="s">
        <v>839</v>
      </c>
      <c r="Q20" s="167" t="s">
        <v>737</v>
      </c>
      <c r="R20" s="165">
        <v>1</v>
      </c>
    </row>
    <row r="21" spans="1:18" ht="38.25" x14ac:dyDescent="0.25">
      <c r="A21" s="163" t="s">
        <v>803</v>
      </c>
      <c r="B21" s="164">
        <v>479.2</v>
      </c>
      <c r="C21" s="164">
        <v>288.8</v>
      </c>
      <c r="D21" s="164">
        <v>2140</v>
      </c>
      <c r="E21" s="165">
        <v>2015</v>
      </c>
      <c r="F21" s="165">
        <v>8</v>
      </c>
      <c r="G21" s="166" t="s">
        <v>835</v>
      </c>
      <c r="H21" s="165">
        <v>1</v>
      </c>
      <c r="I21" s="165">
        <v>3</v>
      </c>
      <c r="J21" s="165">
        <v>0</v>
      </c>
      <c r="K21" s="165">
        <v>1</v>
      </c>
      <c r="L21" s="165">
        <v>1</v>
      </c>
      <c r="M21" s="165">
        <v>1</v>
      </c>
      <c r="N21" s="165">
        <v>1</v>
      </c>
      <c r="O21" s="167" t="s">
        <v>825</v>
      </c>
      <c r="P21" s="167" t="s">
        <v>839</v>
      </c>
      <c r="Q21" s="167" t="s">
        <v>829</v>
      </c>
      <c r="R21" s="165">
        <v>1</v>
      </c>
    </row>
    <row r="22" spans="1:18" ht="38.25" x14ac:dyDescent="0.25">
      <c r="A22" s="163" t="s">
        <v>840</v>
      </c>
      <c r="B22" s="164">
        <v>899</v>
      </c>
      <c r="C22" s="164">
        <v>598.29999999999995</v>
      </c>
      <c r="D22" s="164">
        <v>3698</v>
      </c>
      <c r="E22" s="165">
        <v>1996</v>
      </c>
      <c r="F22" s="165">
        <v>50</v>
      </c>
      <c r="G22" s="166" t="s">
        <v>827</v>
      </c>
      <c r="H22" s="165">
        <v>1</v>
      </c>
      <c r="I22" s="165">
        <v>3</v>
      </c>
      <c r="J22" s="165">
        <v>2014</v>
      </c>
      <c r="K22" s="165">
        <v>1</v>
      </c>
      <c r="L22" s="165">
        <v>1</v>
      </c>
      <c r="M22" s="165">
        <v>1</v>
      </c>
      <c r="N22" s="165">
        <v>1</v>
      </c>
      <c r="O22" s="167" t="s">
        <v>825</v>
      </c>
      <c r="P22" s="167" t="s">
        <v>839</v>
      </c>
      <c r="Q22" s="167" t="s">
        <v>838</v>
      </c>
      <c r="R22" s="165">
        <v>1</v>
      </c>
    </row>
    <row r="23" spans="1:18" ht="38.25" x14ac:dyDescent="0.25">
      <c r="A23" s="163" t="s">
        <v>806</v>
      </c>
      <c r="B23" s="164">
        <v>396.2</v>
      </c>
      <c r="C23" s="164">
        <v>0</v>
      </c>
      <c r="D23" s="164">
        <v>349</v>
      </c>
      <c r="E23" s="165">
        <v>1990</v>
      </c>
      <c r="F23" s="165">
        <v>89</v>
      </c>
      <c r="G23" s="166" t="s">
        <v>835</v>
      </c>
      <c r="H23" s="165">
        <v>1</v>
      </c>
      <c r="I23" s="165">
        <v>3</v>
      </c>
      <c r="J23" s="165">
        <v>1974</v>
      </c>
      <c r="K23" s="165">
        <v>3</v>
      </c>
      <c r="L23" s="165">
        <v>1</v>
      </c>
      <c r="M23" s="165">
        <v>2</v>
      </c>
      <c r="N23" s="165">
        <v>2</v>
      </c>
      <c r="O23" s="167" t="s">
        <v>825</v>
      </c>
      <c r="P23" s="167" t="s">
        <v>826</v>
      </c>
      <c r="Q23" s="167" t="s">
        <v>374</v>
      </c>
      <c r="R23" s="165">
        <v>1</v>
      </c>
    </row>
    <row r="24" spans="1:18" ht="38.25" x14ac:dyDescent="0.25">
      <c r="A24" s="163" t="s">
        <v>807</v>
      </c>
      <c r="B24" s="164">
        <v>56.2</v>
      </c>
      <c r="C24" s="164">
        <v>0</v>
      </c>
      <c r="D24" s="164">
        <v>252</v>
      </c>
      <c r="E24" s="165">
        <v>1994</v>
      </c>
      <c r="F24" s="165">
        <v>25</v>
      </c>
      <c r="G24" s="166" t="s">
        <v>835</v>
      </c>
      <c r="H24" s="165">
        <v>1</v>
      </c>
      <c r="I24" s="165">
        <v>3</v>
      </c>
      <c r="J24" s="165">
        <v>0</v>
      </c>
      <c r="K24" s="165">
        <v>2</v>
      </c>
      <c r="L24" s="165">
        <v>2</v>
      </c>
      <c r="M24" s="165">
        <v>2</v>
      </c>
      <c r="N24" s="165">
        <v>2</v>
      </c>
      <c r="O24" s="167" t="s">
        <v>825</v>
      </c>
      <c r="P24" s="167" t="s">
        <v>745</v>
      </c>
      <c r="Q24" s="167" t="s">
        <v>745</v>
      </c>
      <c r="R24" s="165">
        <v>1</v>
      </c>
    </row>
    <row r="25" spans="1:18" ht="38.25" x14ac:dyDescent="0.25">
      <c r="A25" s="163" t="s">
        <v>808</v>
      </c>
      <c r="B25" s="164">
        <v>68.099999999999994</v>
      </c>
      <c r="C25" s="164">
        <v>0</v>
      </c>
      <c r="D25" s="164">
        <v>271</v>
      </c>
      <c r="E25" s="165">
        <v>1992</v>
      </c>
      <c r="F25" s="165">
        <v>27</v>
      </c>
      <c r="G25" s="166" t="s">
        <v>835</v>
      </c>
      <c r="H25" s="165">
        <v>1</v>
      </c>
      <c r="I25" s="165">
        <v>3</v>
      </c>
      <c r="J25" s="165">
        <v>0</v>
      </c>
      <c r="K25" s="165">
        <v>2</v>
      </c>
      <c r="L25" s="165">
        <v>2</v>
      </c>
      <c r="M25" s="165">
        <v>2</v>
      </c>
      <c r="N25" s="165">
        <v>2</v>
      </c>
      <c r="O25" s="167" t="s">
        <v>825</v>
      </c>
      <c r="P25" s="167" t="s">
        <v>841</v>
      </c>
      <c r="Q25" s="167" t="s">
        <v>745</v>
      </c>
      <c r="R25" s="165">
        <v>1</v>
      </c>
    </row>
    <row r="26" spans="1:18" ht="38.25" x14ac:dyDescent="0.25">
      <c r="A26" s="163" t="s">
        <v>809</v>
      </c>
      <c r="B26" s="164">
        <v>81.3</v>
      </c>
      <c r="C26" s="164">
        <v>0</v>
      </c>
      <c r="D26" s="164">
        <v>260</v>
      </c>
      <c r="E26" s="165">
        <v>2012</v>
      </c>
      <c r="F26" s="165">
        <v>32</v>
      </c>
      <c r="G26" s="166" t="s">
        <v>835</v>
      </c>
      <c r="H26" s="165">
        <v>1</v>
      </c>
      <c r="I26" s="165">
        <v>3</v>
      </c>
      <c r="J26" s="165">
        <v>0</v>
      </c>
      <c r="K26" s="165">
        <v>3</v>
      </c>
      <c r="L26" s="165">
        <v>1</v>
      </c>
      <c r="M26" s="165">
        <v>2</v>
      </c>
      <c r="N26" s="165">
        <v>2</v>
      </c>
      <c r="O26" s="167" t="s">
        <v>825</v>
      </c>
      <c r="P26" s="167" t="s">
        <v>826</v>
      </c>
      <c r="Q26" s="167" t="s">
        <v>745</v>
      </c>
      <c r="R26" s="165">
        <v>2</v>
      </c>
    </row>
    <row r="27" spans="1:18" ht="38.25" x14ac:dyDescent="0.25">
      <c r="A27" s="163" t="s">
        <v>810</v>
      </c>
      <c r="B27" s="164">
        <v>16.100000000000001</v>
      </c>
      <c r="C27" s="164">
        <v>0</v>
      </c>
      <c r="D27" s="164">
        <v>57</v>
      </c>
      <c r="E27" s="165">
        <v>1993</v>
      </c>
      <c r="F27" s="165">
        <v>26</v>
      </c>
      <c r="G27" s="166" t="s">
        <v>835</v>
      </c>
      <c r="H27" s="165">
        <v>1</v>
      </c>
      <c r="I27" s="165">
        <v>3</v>
      </c>
      <c r="J27" s="165">
        <v>0</v>
      </c>
      <c r="K27" s="165">
        <v>3</v>
      </c>
      <c r="L27" s="165">
        <v>1</v>
      </c>
      <c r="M27" s="165">
        <v>2</v>
      </c>
      <c r="N27" s="165">
        <v>2</v>
      </c>
      <c r="O27" s="167" t="s">
        <v>825</v>
      </c>
      <c r="P27" s="167" t="s">
        <v>826</v>
      </c>
      <c r="Q27" s="167" t="s">
        <v>745</v>
      </c>
      <c r="R27" s="165">
        <v>1</v>
      </c>
    </row>
    <row r="28" spans="1:18" ht="38.25" x14ac:dyDescent="0.25">
      <c r="A28" s="163" t="s">
        <v>811</v>
      </c>
      <c r="B28" s="164">
        <v>396.2</v>
      </c>
      <c r="C28" s="164">
        <v>0</v>
      </c>
      <c r="D28" s="164">
        <v>1874</v>
      </c>
      <c r="E28" s="165">
        <v>2002</v>
      </c>
      <c r="F28" s="165">
        <v>27</v>
      </c>
      <c r="G28" s="166" t="s">
        <v>835</v>
      </c>
      <c r="H28" s="165">
        <v>1</v>
      </c>
      <c r="I28" s="165">
        <v>3</v>
      </c>
      <c r="J28" s="165">
        <v>0</v>
      </c>
      <c r="K28" s="165">
        <v>3</v>
      </c>
      <c r="L28" s="165">
        <v>1</v>
      </c>
      <c r="M28" s="165">
        <v>2</v>
      </c>
      <c r="N28" s="165">
        <v>2</v>
      </c>
      <c r="O28" s="167" t="s">
        <v>825</v>
      </c>
      <c r="P28" s="167" t="s">
        <v>826</v>
      </c>
      <c r="Q28" s="167" t="s">
        <v>841</v>
      </c>
      <c r="R28" s="165">
        <v>1</v>
      </c>
    </row>
    <row r="29" spans="1:18" ht="38.25" x14ac:dyDescent="0.25">
      <c r="A29" s="163" t="s">
        <v>812</v>
      </c>
      <c r="B29" s="164">
        <v>61.4</v>
      </c>
      <c r="C29" s="164">
        <v>61.4</v>
      </c>
      <c r="D29" s="164">
        <v>233</v>
      </c>
      <c r="E29" s="165">
        <v>1983</v>
      </c>
      <c r="F29" s="165">
        <v>10</v>
      </c>
      <c r="G29" s="166" t="s">
        <v>835</v>
      </c>
      <c r="H29" s="165">
        <v>1</v>
      </c>
      <c r="I29" s="165">
        <v>3</v>
      </c>
      <c r="J29" s="165">
        <v>2008</v>
      </c>
      <c r="K29" s="165">
        <v>1</v>
      </c>
      <c r="L29" s="165">
        <v>1</v>
      </c>
      <c r="M29" s="165">
        <v>1</v>
      </c>
      <c r="N29" s="165">
        <v>1</v>
      </c>
      <c r="O29" s="167" t="s">
        <v>825</v>
      </c>
      <c r="P29" s="167" t="s">
        <v>826</v>
      </c>
      <c r="Q29" s="167" t="s">
        <v>374</v>
      </c>
      <c r="R29" s="165">
        <v>1</v>
      </c>
    </row>
    <row r="30" spans="1:18" x14ac:dyDescent="0.25">
      <c r="A30" s="163" t="s">
        <v>813</v>
      </c>
      <c r="B30" s="164"/>
      <c r="C30" s="164"/>
      <c r="D30" s="164"/>
      <c r="E30" s="165"/>
      <c r="F30" s="165"/>
      <c r="G30" s="166"/>
      <c r="H30" s="165"/>
      <c r="I30" s="165"/>
      <c r="J30" s="165"/>
      <c r="K30" s="165"/>
      <c r="L30" s="165"/>
      <c r="M30" s="165"/>
      <c r="N30" s="165"/>
      <c r="O30" s="167"/>
      <c r="P30" s="167"/>
      <c r="Q30" s="167"/>
      <c r="R30" s="165"/>
    </row>
    <row r="31" spans="1:18" x14ac:dyDescent="0.25">
      <c r="A31" s="163" t="s">
        <v>842</v>
      </c>
      <c r="B31" s="164"/>
      <c r="C31" s="164"/>
      <c r="D31" s="164"/>
      <c r="E31" s="165"/>
      <c r="F31" s="165"/>
      <c r="G31" s="166"/>
      <c r="H31" s="165"/>
      <c r="I31" s="165"/>
      <c r="J31" s="165"/>
      <c r="K31" s="165"/>
      <c r="L31" s="165"/>
      <c r="M31" s="165"/>
      <c r="N31" s="165"/>
      <c r="O31" s="167"/>
      <c r="P31" s="167"/>
      <c r="Q31" s="167"/>
      <c r="R31" s="165"/>
    </row>
    <row r="32" spans="1:18" ht="38.25" x14ac:dyDescent="0.25">
      <c r="A32" s="163" t="s">
        <v>843</v>
      </c>
      <c r="B32" s="164">
        <v>7486.5</v>
      </c>
      <c r="C32" s="164">
        <v>3152.6</v>
      </c>
      <c r="D32" s="164">
        <v>26596</v>
      </c>
      <c r="E32" s="165">
        <v>2005</v>
      </c>
      <c r="F32" s="165">
        <v>16</v>
      </c>
      <c r="G32" s="166" t="s">
        <v>835</v>
      </c>
      <c r="H32" s="165">
        <v>1</v>
      </c>
      <c r="I32" s="165">
        <v>3</v>
      </c>
      <c r="J32" s="165">
        <v>0</v>
      </c>
      <c r="K32" s="165">
        <v>1</v>
      </c>
      <c r="L32" s="165">
        <v>1</v>
      </c>
      <c r="M32" s="165">
        <v>1</v>
      </c>
      <c r="N32" s="165">
        <v>1</v>
      </c>
      <c r="O32" s="167" t="s">
        <v>825</v>
      </c>
      <c r="P32" s="167" t="s">
        <v>844</v>
      </c>
      <c r="Q32" s="167" t="s">
        <v>617</v>
      </c>
      <c r="R32" s="165">
        <v>1</v>
      </c>
    </row>
    <row r="33" spans="1:18" ht="38.25" x14ac:dyDescent="0.25">
      <c r="A33" s="163" t="s">
        <v>845</v>
      </c>
      <c r="B33" s="164">
        <v>1562.1</v>
      </c>
      <c r="C33" s="164">
        <v>0</v>
      </c>
      <c r="D33" s="164">
        <v>5725</v>
      </c>
      <c r="E33" s="165">
        <v>2009</v>
      </c>
      <c r="F33" s="165">
        <v>19</v>
      </c>
      <c r="G33" s="166" t="s">
        <v>835</v>
      </c>
      <c r="H33" s="165">
        <v>1</v>
      </c>
      <c r="I33" s="165">
        <v>3</v>
      </c>
      <c r="J33" s="165">
        <v>0</v>
      </c>
      <c r="K33" s="165">
        <v>1</v>
      </c>
      <c r="L33" s="165">
        <v>1</v>
      </c>
      <c r="M33" s="165">
        <v>1</v>
      </c>
      <c r="N33" s="165">
        <v>1</v>
      </c>
      <c r="O33" s="167" t="s">
        <v>825</v>
      </c>
      <c r="P33" s="167" t="s">
        <v>844</v>
      </c>
      <c r="Q33" s="167" t="s">
        <v>829</v>
      </c>
      <c r="R33" s="165">
        <v>1</v>
      </c>
    </row>
    <row r="34" spans="1:18" ht="38.25" x14ac:dyDescent="0.25">
      <c r="A34" s="163" t="s">
        <v>846</v>
      </c>
      <c r="B34" s="164">
        <v>146.6</v>
      </c>
      <c r="C34" s="164">
        <v>0</v>
      </c>
      <c r="D34" s="164">
        <v>498</v>
      </c>
      <c r="E34" s="165">
        <v>2009</v>
      </c>
      <c r="F34" s="165">
        <v>19</v>
      </c>
      <c r="G34" s="166" t="s">
        <v>847</v>
      </c>
      <c r="H34" s="165">
        <v>1</v>
      </c>
      <c r="I34" s="165">
        <v>3</v>
      </c>
      <c r="J34" s="165">
        <v>0</v>
      </c>
      <c r="K34" s="165">
        <v>2</v>
      </c>
      <c r="L34" s="165">
        <v>2</v>
      </c>
      <c r="M34" s="165">
        <v>2</v>
      </c>
      <c r="N34" s="165">
        <v>2</v>
      </c>
      <c r="O34" s="167" t="s">
        <v>825</v>
      </c>
      <c r="P34" s="167" t="s">
        <v>844</v>
      </c>
      <c r="Q34" s="167" t="s">
        <v>833</v>
      </c>
      <c r="R34" s="165">
        <v>1</v>
      </c>
    </row>
    <row r="35" spans="1:18" x14ac:dyDescent="0.25">
      <c r="A35" s="163" t="s">
        <v>848</v>
      </c>
      <c r="B35" s="164"/>
      <c r="C35" s="164"/>
      <c r="D35" s="164"/>
      <c r="E35" s="165"/>
      <c r="F35" s="165"/>
      <c r="G35" s="166"/>
      <c r="H35" s="165"/>
      <c r="I35" s="165"/>
      <c r="J35" s="165"/>
      <c r="K35" s="165"/>
      <c r="L35" s="165"/>
      <c r="M35" s="165"/>
      <c r="N35" s="165"/>
      <c r="O35" s="167"/>
      <c r="P35" s="167"/>
      <c r="Q35" s="167"/>
      <c r="R35" s="165"/>
    </row>
    <row r="36" spans="1:18" ht="38.25" x14ac:dyDescent="0.25">
      <c r="A36" s="163" t="s">
        <v>849</v>
      </c>
      <c r="B36" s="164">
        <v>7298.1</v>
      </c>
      <c r="C36" s="164">
        <v>3975.9</v>
      </c>
      <c r="D36" s="164">
        <v>27928</v>
      </c>
      <c r="E36" s="165">
        <v>1989</v>
      </c>
      <c r="F36" s="165">
        <v>33</v>
      </c>
      <c r="G36" s="166" t="s">
        <v>850</v>
      </c>
      <c r="H36" s="165">
        <v>1</v>
      </c>
      <c r="I36" s="165">
        <v>2</v>
      </c>
      <c r="J36" s="165">
        <v>0</v>
      </c>
      <c r="K36" s="165">
        <v>1</v>
      </c>
      <c r="L36" s="165">
        <v>1</v>
      </c>
      <c r="M36" s="165">
        <v>1</v>
      </c>
      <c r="N36" s="165">
        <v>1</v>
      </c>
      <c r="O36" s="167" t="s">
        <v>825</v>
      </c>
      <c r="P36" s="167" t="s">
        <v>844</v>
      </c>
      <c r="Q36" s="167" t="s">
        <v>617</v>
      </c>
      <c r="R36" s="165">
        <v>1</v>
      </c>
    </row>
    <row r="37" spans="1:18" x14ac:dyDescent="0.25">
      <c r="A37" s="163" t="s">
        <v>851</v>
      </c>
      <c r="B37" s="164"/>
      <c r="C37" s="164"/>
      <c r="D37" s="164"/>
      <c r="E37" s="165"/>
      <c r="F37" s="165"/>
      <c r="G37" s="166"/>
      <c r="H37" s="165"/>
      <c r="I37" s="165"/>
      <c r="J37" s="165"/>
      <c r="K37" s="165"/>
      <c r="L37" s="165"/>
      <c r="M37" s="165"/>
      <c r="N37" s="165"/>
      <c r="O37" s="167"/>
      <c r="P37" s="167"/>
      <c r="Q37" s="167"/>
      <c r="R37" s="165"/>
    </row>
    <row r="38" spans="1:18" x14ac:dyDescent="0.25">
      <c r="A38" s="163" t="s">
        <v>852</v>
      </c>
      <c r="B38" s="164"/>
      <c r="C38" s="164"/>
      <c r="D38" s="164"/>
      <c r="E38" s="165"/>
      <c r="F38" s="165"/>
      <c r="G38" s="166"/>
      <c r="H38" s="165"/>
      <c r="I38" s="165"/>
      <c r="J38" s="165"/>
      <c r="K38" s="165"/>
      <c r="L38" s="165"/>
      <c r="M38" s="165"/>
      <c r="N38" s="165"/>
      <c r="O38" s="167"/>
      <c r="P38" s="167"/>
      <c r="Q38" s="167"/>
      <c r="R38" s="165"/>
    </row>
    <row r="39" spans="1:18" ht="38.25" x14ac:dyDescent="0.25">
      <c r="A39" s="163" t="s">
        <v>817</v>
      </c>
      <c r="B39" s="164">
        <v>212</v>
      </c>
      <c r="C39" s="164">
        <v>138.19999999999999</v>
      </c>
      <c r="D39" s="164">
        <v>750</v>
      </c>
      <c r="E39" s="165">
        <v>1965</v>
      </c>
      <c r="F39" s="165">
        <v>74</v>
      </c>
      <c r="G39" s="166" t="s">
        <v>835</v>
      </c>
      <c r="H39" s="165">
        <v>1</v>
      </c>
      <c r="I39" s="165">
        <v>2</v>
      </c>
      <c r="J39" s="165">
        <v>0</v>
      </c>
      <c r="K39" s="165">
        <v>3</v>
      </c>
      <c r="L39" s="165">
        <v>1</v>
      </c>
      <c r="M39" s="165">
        <v>1</v>
      </c>
      <c r="N39" s="165">
        <v>1</v>
      </c>
      <c r="O39" s="167" t="s">
        <v>825</v>
      </c>
      <c r="P39" s="167" t="s">
        <v>826</v>
      </c>
      <c r="Q39" s="167" t="s">
        <v>374</v>
      </c>
      <c r="R39" s="165">
        <v>2</v>
      </c>
    </row>
    <row r="40" spans="1:18" ht="38.25" x14ac:dyDescent="0.25">
      <c r="A40" s="163" t="s">
        <v>853</v>
      </c>
      <c r="B40" s="164">
        <v>668.5</v>
      </c>
      <c r="C40" s="164">
        <v>355.5</v>
      </c>
      <c r="D40" s="164">
        <v>3842</v>
      </c>
      <c r="E40" s="165">
        <v>1990</v>
      </c>
      <c r="F40" s="165">
        <v>100</v>
      </c>
      <c r="G40" s="166" t="s">
        <v>835</v>
      </c>
      <c r="H40" s="165">
        <v>1</v>
      </c>
      <c r="I40" s="165">
        <v>2</v>
      </c>
      <c r="J40" s="165">
        <v>0</v>
      </c>
      <c r="K40" s="165">
        <v>1</v>
      </c>
      <c r="L40" s="165">
        <v>1</v>
      </c>
      <c r="M40" s="165">
        <v>1</v>
      </c>
      <c r="N40" s="165">
        <v>1</v>
      </c>
      <c r="O40" s="167" t="s">
        <v>825</v>
      </c>
      <c r="P40" s="167" t="s">
        <v>826</v>
      </c>
      <c r="Q40" s="167" t="s">
        <v>833</v>
      </c>
      <c r="R40" s="165">
        <v>2</v>
      </c>
    </row>
    <row r="41" spans="1:18" ht="38.25" x14ac:dyDescent="0.25">
      <c r="A41" s="163" t="s">
        <v>814</v>
      </c>
      <c r="B41" s="164">
        <v>119.1</v>
      </c>
      <c r="C41" s="164">
        <v>0</v>
      </c>
      <c r="D41" s="164">
        <v>386</v>
      </c>
      <c r="E41" s="165">
        <v>1999</v>
      </c>
      <c r="F41" s="165">
        <v>69</v>
      </c>
      <c r="G41" s="166" t="s">
        <v>835</v>
      </c>
      <c r="H41" s="165">
        <v>1</v>
      </c>
      <c r="I41" s="165">
        <v>3</v>
      </c>
      <c r="J41" s="165">
        <v>2019</v>
      </c>
      <c r="K41" s="165">
        <v>3</v>
      </c>
      <c r="L41" s="165">
        <v>1</v>
      </c>
      <c r="M41" s="165">
        <v>2</v>
      </c>
      <c r="N41" s="165">
        <v>2</v>
      </c>
      <c r="O41" s="167" t="s">
        <v>825</v>
      </c>
      <c r="P41" s="167" t="s">
        <v>826</v>
      </c>
      <c r="Q41" s="167" t="s">
        <v>841</v>
      </c>
      <c r="R41" s="165">
        <v>1</v>
      </c>
    </row>
    <row r="42" spans="1:18" x14ac:dyDescent="0.25">
      <c r="A42" s="163" t="s">
        <v>815</v>
      </c>
      <c r="B42" s="164"/>
      <c r="C42" s="164"/>
      <c r="D42" s="164"/>
      <c r="E42" s="165"/>
      <c r="F42" s="165"/>
      <c r="G42" s="166"/>
      <c r="H42" s="165"/>
      <c r="I42" s="165"/>
      <c r="J42" s="165"/>
      <c r="K42" s="165"/>
      <c r="L42" s="165"/>
      <c r="M42" s="165"/>
      <c r="N42" s="165"/>
      <c r="O42" s="167"/>
      <c r="P42" s="167"/>
      <c r="Q42" s="167"/>
      <c r="R42" s="165"/>
    </row>
    <row r="43" spans="1:18" x14ac:dyDescent="0.25">
      <c r="A43" s="163" t="s">
        <v>816</v>
      </c>
      <c r="B43" s="164"/>
      <c r="C43" s="164"/>
      <c r="D43" s="164"/>
      <c r="E43" s="165"/>
      <c r="F43" s="165"/>
      <c r="G43" s="166"/>
      <c r="H43" s="165"/>
      <c r="I43" s="165"/>
      <c r="J43" s="165"/>
      <c r="K43" s="165"/>
      <c r="L43" s="165"/>
      <c r="M43" s="165"/>
      <c r="N43" s="165"/>
      <c r="O43" s="167"/>
      <c r="P43" s="167"/>
      <c r="Q43" s="167"/>
      <c r="R43" s="165"/>
    </row>
    <row r="44" spans="1:18" ht="38.25" x14ac:dyDescent="0.25">
      <c r="A44" s="163" t="s">
        <v>817</v>
      </c>
      <c r="B44" s="164">
        <v>580.29999999999995</v>
      </c>
      <c r="C44" s="164">
        <v>263.60000000000002</v>
      </c>
      <c r="D44" s="164">
        <v>2359</v>
      </c>
      <c r="E44" s="165">
        <v>1994</v>
      </c>
      <c r="F44" s="165">
        <v>77</v>
      </c>
      <c r="G44" s="166" t="s">
        <v>835</v>
      </c>
      <c r="H44" s="165">
        <v>1</v>
      </c>
      <c r="I44" s="165">
        <v>2</v>
      </c>
      <c r="J44" s="165">
        <v>0</v>
      </c>
      <c r="K44" s="165">
        <v>1</v>
      </c>
      <c r="L44" s="165">
        <v>1</v>
      </c>
      <c r="M44" s="165">
        <v>1</v>
      </c>
      <c r="N44" s="165">
        <v>1</v>
      </c>
      <c r="O44" s="167" t="s">
        <v>825</v>
      </c>
      <c r="P44" s="167" t="s">
        <v>826</v>
      </c>
      <c r="Q44" s="167" t="s">
        <v>374</v>
      </c>
      <c r="R44" s="165">
        <v>1</v>
      </c>
    </row>
    <row r="45" spans="1:18" ht="38.25" x14ac:dyDescent="0.25">
      <c r="A45" s="163" t="s">
        <v>814</v>
      </c>
      <c r="B45" s="164">
        <v>51.4</v>
      </c>
      <c r="C45" s="164">
        <v>0</v>
      </c>
      <c r="D45" s="164">
        <v>139</v>
      </c>
      <c r="E45" s="165">
        <v>1996</v>
      </c>
      <c r="F45" s="165">
        <v>84</v>
      </c>
      <c r="G45" s="166" t="s">
        <v>835</v>
      </c>
      <c r="H45" s="165">
        <v>1</v>
      </c>
      <c r="I45" s="165">
        <v>3</v>
      </c>
      <c r="J45" s="165">
        <v>0</v>
      </c>
      <c r="K45" s="165">
        <v>3</v>
      </c>
      <c r="L45" s="165">
        <v>1</v>
      </c>
      <c r="M45" s="165">
        <v>2</v>
      </c>
      <c r="N45" s="165">
        <v>2</v>
      </c>
      <c r="O45" s="167" t="s">
        <v>825</v>
      </c>
      <c r="P45" s="167" t="s">
        <v>826</v>
      </c>
      <c r="Q45" s="167" t="s">
        <v>841</v>
      </c>
      <c r="R45" s="165">
        <v>2</v>
      </c>
    </row>
    <row r="46" spans="1:18" ht="38.25" x14ac:dyDescent="0.25">
      <c r="A46" s="163" t="s">
        <v>818</v>
      </c>
      <c r="B46" s="164">
        <v>119.9</v>
      </c>
      <c r="C46" s="164">
        <v>37</v>
      </c>
      <c r="D46" s="164">
        <v>384</v>
      </c>
      <c r="E46" s="165">
        <v>2009</v>
      </c>
      <c r="F46" s="165">
        <v>12</v>
      </c>
      <c r="G46" s="166" t="s">
        <v>835</v>
      </c>
      <c r="H46" s="165">
        <v>1</v>
      </c>
      <c r="I46" s="165">
        <v>3</v>
      </c>
      <c r="J46" s="165">
        <v>0</v>
      </c>
      <c r="K46" s="165">
        <v>3</v>
      </c>
      <c r="L46" s="165">
        <v>1</v>
      </c>
      <c r="M46" s="165">
        <v>1</v>
      </c>
      <c r="N46" s="165">
        <v>1</v>
      </c>
      <c r="O46" s="167" t="s">
        <v>825</v>
      </c>
      <c r="P46" s="167" t="s">
        <v>826</v>
      </c>
      <c r="Q46" s="167" t="s">
        <v>841</v>
      </c>
      <c r="R46" s="165">
        <v>2</v>
      </c>
    </row>
    <row r="47" spans="1:18" x14ac:dyDescent="0.25">
      <c r="A47" s="163" t="s">
        <v>819</v>
      </c>
      <c r="B47" s="164"/>
      <c r="C47" s="164"/>
      <c r="D47" s="164"/>
      <c r="E47" s="165"/>
      <c r="F47" s="165"/>
      <c r="G47" s="166"/>
      <c r="H47" s="165"/>
      <c r="I47" s="165"/>
      <c r="J47" s="165"/>
      <c r="K47" s="165"/>
      <c r="L47" s="165"/>
      <c r="M47" s="165"/>
      <c r="N47" s="165"/>
      <c r="O47" s="167"/>
      <c r="P47" s="167"/>
      <c r="Q47" s="167"/>
      <c r="R47" s="165"/>
    </row>
    <row r="48" spans="1:18" ht="38.25" x14ac:dyDescent="0.25">
      <c r="A48" s="163" t="s">
        <v>820</v>
      </c>
      <c r="B48" s="164">
        <v>209.1</v>
      </c>
      <c r="C48" s="164">
        <v>120.6</v>
      </c>
      <c r="D48" s="164">
        <v>756</v>
      </c>
      <c r="E48" s="165">
        <v>2000</v>
      </c>
      <c r="F48" s="165">
        <v>66</v>
      </c>
      <c r="G48" s="166" t="s">
        <v>835</v>
      </c>
      <c r="H48" s="165">
        <v>1</v>
      </c>
      <c r="I48" s="165">
        <v>2</v>
      </c>
      <c r="J48" s="165">
        <v>0</v>
      </c>
      <c r="K48" s="165">
        <v>3</v>
      </c>
      <c r="L48" s="165">
        <v>1</v>
      </c>
      <c r="M48" s="165">
        <v>2</v>
      </c>
      <c r="N48" s="165">
        <v>2</v>
      </c>
      <c r="O48" s="167" t="s">
        <v>825</v>
      </c>
      <c r="P48" s="167" t="s">
        <v>826</v>
      </c>
      <c r="Q48" s="167" t="s">
        <v>833</v>
      </c>
      <c r="R48" s="165">
        <v>2</v>
      </c>
    </row>
    <row r="49" spans="1:18" ht="38.25" x14ac:dyDescent="0.25">
      <c r="A49" s="163" t="s">
        <v>814</v>
      </c>
      <c r="B49" s="164">
        <v>33.700000000000003</v>
      </c>
      <c r="C49" s="164">
        <v>0</v>
      </c>
      <c r="D49" s="164">
        <v>118</v>
      </c>
      <c r="E49" s="165">
        <v>2010</v>
      </c>
      <c r="F49" s="165">
        <v>30</v>
      </c>
      <c r="G49" s="166" t="s">
        <v>835</v>
      </c>
      <c r="H49" s="165">
        <v>1</v>
      </c>
      <c r="I49" s="165">
        <v>3</v>
      </c>
      <c r="J49" s="165">
        <v>0</v>
      </c>
      <c r="K49" s="165">
        <v>3</v>
      </c>
      <c r="L49" s="165">
        <v>1</v>
      </c>
      <c r="M49" s="165">
        <v>2</v>
      </c>
      <c r="N49" s="165">
        <v>2</v>
      </c>
      <c r="O49" s="167" t="s">
        <v>825</v>
      </c>
      <c r="P49" s="167" t="s">
        <v>826</v>
      </c>
      <c r="Q49" s="167" t="s">
        <v>833</v>
      </c>
      <c r="R49" s="165">
        <v>2</v>
      </c>
    </row>
    <row r="50" spans="1:18" x14ac:dyDescent="0.25">
      <c r="A50" s="163" t="s">
        <v>821</v>
      </c>
      <c r="B50" s="164"/>
      <c r="C50" s="164"/>
      <c r="D50" s="164"/>
      <c r="E50" s="165"/>
      <c r="F50" s="165"/>
      <c r="G50" s="166"/>
      <c r="H50" s="165"/>
      <c r="I50" s="165"/>
      <c r="J50" s="165"/>
      <c r="K50" s="165"/>
      <c r="L50" s="165"/>
      <c r="M50" s="165"/>
      <c r="N50" s="165"/>
      <c r="O50" s="167"/>
      <c r="P50" s="167"/>
      <c r="Q50" s="167"/>
      <c r="R50" s="165"/>
    </row>
    <row r="51" spans="1:18" ht="38.25" x14ac:dyDescent="0.25">
      <c r="A51" s="163" t="s">
        <v>822</v>
      </c>
      <c r="B51" s="164">
        <v>172</v>
      </c>
      <c r="C51" s="164">
        <v>96.1</v>
      </c>
      <c r="D51" s="164">
        <v>509</v>
      </c>
      <c r="E51" s="165">
        <v>2005</v>
      </c>
      <c r="F51" s="165">
        <v>47</v>
      </c>
      <c r="G51" s="166" t="s">
        <v>835</v>
      </c>
      <c r="H51" s="165">
        <v>1</v>
      </c>
      <c r="I51" s="165">
        <v>2</v>
      </c>
      <c r="J51" s="165">
        <v>0</v>
      </c>
      <c r="K51" s="165">
        <v>3</v>
      </c>
      <c r="L51" s="165">
        <v>1</v>
      </c>
      <c r="M51" s="165">
        <v>2</v>
      </c>
      <c r="N51" s="165">
        <v>2</v>
      </c>
      <c r="O51" s="167" t="s">
        <v>825</v>
      </c>
      <c r="P51" s="167" t="s">
        <v>826</v>
      </c>
      <c r="Q51" s="167" t="s">
        <v>833</v>
      </c>
      <c r="R51" s="165">
        <v>2</v>
      </c>
    </row>
    <row r="52" spans="1:18" x14ac:dyDescent="0.25">
      <c r="A52" s="163" t="s">
        <v>854</v>
      </c>
      <c r="B52" s="164">
        <f>SUM(B7:B51)</f>
        <v>42576.9</v>
      </c>
      <c r="C52" s="164">
        <f>SUM(C7:C51)</f>
        <v>18772.199999999997</v>
      </c>
      <c r="D52" s="164">
        <f>SUM(D7:D51)</f>
        <v>166889.4</v>
      </c>
      <c r="E52" s="165"/>
      <c r="F52" s="165"/>
      <c r="G52" s="166"/>
      <c r="H52" s="165"/>
      <c r="I52" s="165"/>
      <c r="J52" s="165"/>
      <c r="K52" s="165"/>
      <c r="L52" s="165"/>
      <c r="M52" s="165"/>
      <c r="N52" s="165"/>
      <c r="O52" s="167"/>
      <c r="P52" s="167"/>
      <c r="Q52" s="167"/>
      <c r="R52" s="165"/>
    </row>
  </sheetData>
  <mergeCells count="2">
    <mergeCell ref="A5:A6"/>
    <mergeCell ref="B5:R5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</sheetPr>
  <dimension ref="A1:V30"/>
  <sheetViews>
    <sheetView zoomScale="90" zoomScaleNormal="90" workbookViewId="0">
      <pane xSplit="2" ySplit="7" topLeftCell="F8" activePane="bottomRight" state="frozen"/>
      <selection pane="topRight" activeCell="C1" sqref="C1"/>
      <selection pane="bottomLeft" activeCell="A8" sqref="A8"/>
      <selection pane="bottomRight" activeCell="A5" sqref="A5:V7"/>
    </sheetView>
  </sheetViews>
  <sheetFormatPr defaultRowHeight="15" x14ac:dyDescent="0.25"/>
  <cols>
    <col min="1" max="1" width="20.5703125" customWidth="1"/>
    <col min="2" max="2" width="12" customWidth="1"/>
    <col min="3" max="3" width="15.7109375" customWidth="1"/>
    <col min="4" max="4" width="10.140625" bestFit="1" customWidth="1"/>
    <col min="5" max="7" width="12.7109375" customWidth="1"/>
    <col min="8" max="8" width="13.42578125" customWidth="1"/>
    <col min="9" max="9" width="6.28515625" customWidth="1"/>
    <col min="10" max="10" width="11.7109375" customWidth="1"/>
    <col min="11" max="11" width="19.5703125" customWidth="1"/>
    <col min="12" max="12" width="12.42578125" customWidth="1"/>
    <col min="13" max="13" width="13" customWidth="1"/>
    <col min="14" max="14" width="12.28515625" customWidth="1"/>
    <col min="15" max="15" width="16.28515625" customWidth="1"/>
    <col min="16" max="18" width="14.28515625" customWidth="1"/>
    <col min="19" max="19" width="14.42578125" customWidth="1"/>
    <col min="20" max="20" width="13.85546875" customWidth="1"/>
    <col min="21" max="21" width="15.140625" customWidth="1"/>
    <col min="22" max="22" width="12.5703125" customWidth="1"/>
  </cols>
  <sheetData>
    <row r="1" spans="1:22" ht="18" x14ac:dyDescent="0.25">
      <c r="A1" s="84"/>
      <c r="B1" s="84"/>
      <c r="C1" s="84"/>
      <c r="D1" s="259" t="s">
        <v>59</v>
      </c>
      <c r="E1" s="259"/>
      <c r="F1" s="259"/>
      <c r="G1" s="259"/>
      <c r="H1" s="259"/>
      <c r="I1" s="259"/>
      <c r="J1" s="259"/>
      <c r="K1" s="259"/>
      <c r="L1" s="259"/>
      <c r="M1" s="259"/>
      <c r="N1" s="259"/>
      <c r="O1" s="259"/>
      <c r="P1" s="85"/>
      <c r="Q1" s="85"/>
      <c r="R1" s="85"/>
      <c r="S1" s="85"/>
      <c r="T1" s="85"/>
      <c r="U1" s="85"/>
      <c r="V1" s="85"/>
    </row>
    <row r="2" spans="1:22" ht="18" x14ac:dyDescent="0.25">
      <c r="A2" s="85"/>
      <c r="B2" s="85"/>
      <c r="C2" s="85"/>
      <c r="D2" s="259" t="s">
        <v>56</v>
      </c>
      <c r="E2" s="259"/>
      <c r="F2" s="259"/>
      <c r="G2" s="259"/>
      <c r="H2" s="259"/>
      <c r="I2" s="259"/>
      <c r="J2" s="259"/>
      <c r="K2" s="259"/>
      <c r="L2" s="259"/>
      <c r="M2" s="259"/>
      <c r="N2" s="259"/>
      <c r="O2" s="259"/>
      <c r="P2" s="85"/>
      <c r="Q2" s="85"/>
      <c r="R2" s="85"/>
      <c r="S2" s="85"/>
      <c r="T2" s="85"/>
      <c r="U2" s="85"/>
      <c r="V2" s="85"/>
    </row>
    <row r="3" spans="1:22" x14ac:dyDescent="0.25">
      <c r="A3" s="85"/>
      <c r="B3" s="85"/>
      <c r="C3" s="85"/>
      <c r="D3" s="260" t="s">
        <v>896</v>
      </c>
      <c r="E3" s="260"/>
      <c r="F3" s="260"/>
      <c r="G3" s="260"/>
      <c r="H3" s="260"/>
      <c r="I3" s="260"/>
      <c r="J3" s="88"/>
      <c r="K3" s="88"/>
      <c r="L3" s="88"/>
      <c r="M3" s="88"/>
      <c r="N3" s="88"/>
      <c r="O3" s="89"/>
      <c r="P3" s="85"/>
      <c r="Q3" s="85"/>
      <c r="R3" s="85"/>
      <c r="S3" s="85"/>
      <c r="T3" s="85"/>
      <c r="U3" s="85"/>
      <c r="V3" s="85"/>
    </row>
    <row r="4" spans="1:22" x14ac:dyDescent="0.25">
      <c r="A4" s="84"/>
      <c r="B4" s="84"/>
      <c r="C4" s="84"/>
      <c r="D4" s="260" t="s">
        <v>587</v>
      </c>
      <c r="E4" s="260"/>
      <c r="F4" s="260"/>
      <c r="G4" s="260"/>
      <c r="H4" s="260"/>
      <c r="I4" s="260"/>
      <c r="J4" s="88"/>
      <c r="K4" s="88"/>
      <c r="L4" s="88"/>
      <c r="M4" s="88"/>
      <c r="N4" s="88"/>
      <c r="O4" s="89"/>
      <c r="P4" s="85"/>
      <c r="Q4" s="85"/>
      <c r="R4" s="85"/>
      <c r="S4" s="85"/>
      <c r="T4" s="85"/>
      <c r="U4" s="85"/>
      <c r="V4" s="85"/>
    </row>
    <row r="5" spans="1:22" ht="15" customHeight="1" x14ac:dyDescent="0.25">
      <c r="A5" s="290" t="s">
        <v>515</v>
      </c>
      <c r="B5" s="290" t="s">
        <v>545</v>
      </c>
      <c r="C5" s="290" t="s">
        <v>544</v>
      </c>
      <c r="D5" s="290" t="s">
        <v>62</v>
      </c>
      <c r="E5" s="290"/>
      <c r="F5" s="290"/>
      <c r="G5" s="290"/>
      <c r="H5" s="290"/>
      <c r="I5" s="290"/>
      <c r="J5" s="290"/>
      <c r="K5" s="290"/>
      <c r="L5" s="290"/>
      <c r="M5" s="290"/>
      <c r="N5" s="290"/>
      <c r="O5" s="290"/>
      <c r="P5" s="290"/>
      <c r="Q5" s="290"/>
      <c r="R5" s="290"/>
      <c r="S5" s="290"/>
      <c r="T5" s="290"/>
      <c r="U5" s="290"/>
      <c r="V5" s="290"/>
    </row>
    <row r="6" spans="1:22" ht="23.25" customHeight="1" x14ac:dyDescent="0.25">
      <c r="A6" s="290"/>
      <c r="B6" s="290"/>
      <c r="C6" s="290"/>
      <c r="D6" s="290" t="s">
        <v>63</v>
      </c>
      <c r="E6" s="298" t="s">
        <v>550</v>
      </c>
      <c r="F6" s="298"/>
      <c r="G6" s="298"/>
      <c r="H6" s="290" t="s">
        <v>64</v>
      </c>
      <c r="I6" s="290" t="s">
        <v>65</v>
      </c>
      <c r="J6" s="298" t="s">
        <v>493</v>
      </c>
      <c r="K6" s="298" t="s">
        <v>546</v>
      </c>
      <c r="L6" s="290" t="s">
        <v>66</v>
      </c>
      <c r="M6" s="290" t="s">
        <v>67</v>
      </c>
      <c r="N6" s="298" t="s">
        <v>494</v>
      </c>
      <c r="O6" s="290" t="s">
        <v>553</v>
      </c>
      <c r="P6" s="290" t="s">
        <v>69</v>
      </c>
      <c r="Q6" s="298" t="s">
        <v>551</v>
      </c>
      <c r="R6" s="298" t="s">
        <v>552</v>
      </c>
      <c r="S6" s="290" t="s">
        <v>70</v>
      </c>
      <c r="T6" s="290" t="s">
        <v>71</v>
      </c>
      <c r="U6" s="290" t="s">
        <v>554</v>
      </c>
      <c r="V6" s="290" t="s">
        <v>72</v>
      </c>
    </row>
    <row r="7" spans="1:22" ht="126.75" customHeight="1" x14ac:dyDescent="0.25">
      <c r="A7" s="290"/>
      <c r="B7" s="290"/>
      <c r="C7" s="290"/>
      <c r="D7" s="290"/>
      <c r="E7" s="297" t="s">
        <v>547</v>
      </c>
      <c r="F7" s="297" t="s">
        <v>548</v>
      </c>
      <c r="G7" s="297" t="s">
        <v>549</v>
      </c>
      <c r="H7" s="290"/>
      <c r="I7" s="290"/>
      <c r="J7" s="298"/>
      <c r="K7" s="298"/>
      <c r="L7" s="290"/>
      <c r="M7" s="290"/>
      <c r="N7" s="298"/>
      <c r="O7" s="290"/>
      <c r="P7" s="290"/>
      <c r="Q7" s="298"/>
      <c r="R7" s="298"/>
      <c r="S7" s="290"/>
      <c r="T7" s="290"/>
      <c r="U7" s="290"/>
      <c r="V7" s="290"/>
    </row>
    <row r="8" spans="1:22" ht="25.5" x14ac:dyDescent="0.25">
      <c r="A8" s="256" t="s">
        <v>613</v>
      </c>
      <c r="B8" s="256" t="s">
        <v>614</v>
      </c>
      <c r="C8" s="125" t="s">
        <v>615</v>
      </c>
      <c r="D8" s="97">
        <v>1639</v>
      </c>
      <c r="E8" s="98">
        <v>0</v>
      </c>
      <c r="F8" s="97">
        <v>0</v>
      </c>
      <c r="G8" s="97">
        <v>0</v>
      </c>
      <c r="H8" s="97">
        <v>6566</v>
      </c>
      <c r="I8" s="99">
        <v>1981</v>
      </c>
      <c r="J8" s="100">
        <v>0.4</v>
      </c>
      <c r="K8" s="99">
        <v>1</v>
      </c>
      <c r="L8" s="99">
        <v>1</v>
      </c>
      <c r="M8" s="99">
        <v>3</v>
      </c>
      <c r="N8" s="98"/>
      <c r="O8" s="99">
        <v>1</v>
      </c>
      <c r="P8" s="99">
        <v>1</v>
      </c>
      <c r="Q8" s="99">
        <v>1</v>
      </c>
      <c r="R8" s="99">
        <v>1</v>
      </c>
      <c r="S8" s="112" t="s">
        <v>616</v>
      </c>
      <c r="T8" s="117" t="s">
        <v>669</v>
      </c>
      <c r="U8" s="112" t="s">
        <v>617</v>
      </c>
      <c r="V8" s="99">
        <v>1</v>
      </c>
    </row>
    <row r="9" spans="1:22" x14ac:dyDescent="0.25">
      <c r="A9" s="257"/>
      <c r="B9" s="257"/>
      <c r="C9" s="125" t="s">
        <v>618</v>
      </c>
      <c r="D9" s="97">
        <v>2516.4</v>
      </c>
      <c r="E9" s="98">
        <v>0</v>
      </c>
      <c r="F9" s="101">
        <v>125.7</v>
      </c>
      <c r="G9" s="97">
        <v>0</v>
      </c>
      <c r="H9" s="97">
        <v>10533</v>
      </c>
      <c r="I9" s="99">
        <v>1995</v>
      </c>
      <c r="J9" s="100">
        <v>0.3</v>
      </c>
      <c r="K9" s="99">
        <v>1</v>
      </c>
      <c r="L9" s="99">
        <v>1</v>
      </c>
      <c r="M9" s="99">
        <v>3</v>
      </c>
      <c r="N9" s="98"/>
      <c r="O9" s="99">
        <v>1</v>
      </c>
      <c r="P9" s="99">
        <v>1</v>
      </c>
      <c r="Q9" s="99">
        <v>1</v>
      </c>
      <c r="R9" s="99">
        <v>1</v>
      </c>
      <c r="S9" s="112" t="s">
        <v>616</v>
      </c>
      <c r="T9" s="117" t="s">
        <v>669</v>
      </c>
      <c r="U9" s="112" t="s">
        <v>617</v>
      </c>
      <c r="V9" s="99">
        <v>1</v>
      </c>
    </row>
    <row r="10" spans="1:22" ht="28.5" customHeight="1" x14ac:dyDescent="0.25">
      <c r="A10" s="257"/>
      <c r="B10" s="257"/>
      <c r="C10" s="125" t="s">
        <v>619</v>
      </c>
      <c r="D10" s="97">
        <v>892.7</v>
      </c>
      <c r="E10" s="102">
        <v>510.7</v>
      </c>
      <c r="F10" s="97">
        <v>0</v>
      </c>
      <c r="G10" s="97">
        <v>0</v>
      </c>
      <c r="H10" s="97">
        <v>7746</v>
      </c>
      <c r="I10" s="99">
        <v>2003</v>
      </c>
      <c r="J10" s="100">
        <v>0.17</v>
      </c>
      <c r="K10" s="99">
        <v>1</v>
      </c>
      <c r="L10" s="99">
        <v>1</v>
      </c>
      <c r="M10" s="99">
        <v>3</v>
      </c>
      <c r="N10" s="98"/>
      <c r="O10" s="99">
        <v>1</v>
      </c>
      <c r="P10" s="99">
        <v>1</v>
      </c>
      <c r="Q10" s="99">
        <v>1</v>
      </c>
      <c r="R10" s="99">
        <v>1</v>
      </c>
      <c r="S10" s="112" t="s">
        <v>616</v>
      </c>
      <c r="T10" s="117" t="s">
        <v>669</v>
      </c>
      <c r="U10" s="112" t="s">
        <v>617</v>
      </c>
      <c r="V10" s="99">
        <v>1</v>
      </c>
    </row>
    <row r="11" spans="1:22" ht="38.25" x14ac:dyDescent="0.25">
      <c r="A11" s="257"/>
      <c r="B11" s="257"/>
      <c r="C11" s="125" t="s">
        <v>620</v>
      </c>
      <c r="D11" s="97">
        <v>6666.4</v>
      </c>
      <c r="E11" s="98">
        <v>0</v>
      </c>
      <c r="F11" s="97">
        <v>0</v>
      </c>
      <c r="G11" s="98">
        <v>0</v>
      </c>
      <c r="H11" s="97">
        <v>30508.15</v>
      </c>
      <c r="I11" s="99">
        <v>2016</v>
      </c>
      <c r="J11" s="100">
        <v>0</v>
      </c>
      <c r="K11" s="99">
        <v>1</v>
      </c>
      <c r="L11" s="99">
        <v>1</v>
      </c>
      <c r="M11" s="99">
        <v>3</v>
      </c>
      <c r="N11" s="98"/>
      <c r="O11" s="99">
        <v>1</v>
      </c>
      <c r="P11" s="99">
        <v>1</v>
      </c>
      <c r="Q11" s="99">
        <v>1</v>
      </c>
      <c r="R11" s="99">
        <v>1</v>
      </c>
      <c r="S11" s="112" t="s">
        <v>616</v>
      </c>
      <c r="T11" s="117" t="s">
        <v>669</v>
      </c>
      <c r="U11" s="112" t="s">
        <v>617</v>
      </c>
      <c r="V11" s="99">
        <v>1</v>
      </c>
    </row>
    <row r="12" spans="1:22" ht="38.25" x14ac:dyDescent="0.25">
      <c r="A12" s="257"/>
      <c r="B12" s="257"/>
      <c r="C12" s="126" t="s">
        <v>621</v>
      </c>
      <c r="D12" s="103">
        <v>3777.9</v>
      </c>
      <c r="E12" s="104">
        <v>110.6</v>
      </c>
      <c r="F12" s="105">
        <v>0</v>
      </c>
      <c r="G12" s="105">
        <v>0</v>
      </c>
      <c r="H12" s="105">
        <v>13332</v>
      </c>
      <c r="I12" s="103">
        <v>2005</v>
      </c>
      <c r="J12" s="106">
        <v>0.25</v>
      </c>
      <c r="K12" s="103">
        <v>1</v>
      </c>
      <c r="L12" s="103">
        <v>1</v>
      </c>
      <c r="M12" s="103">
        <v>3</v>
      </c>
      <c r="N12" s="105"/>
      <c r="O12" s="103">
        <v>1</v>
      </c>
      <c r="P12" s="103">
        <v>1</v>
      </c>
      <c r="Q12" s="103">
        <v>1</v>
      </c>
      <c r="R12" s="103">
        <v>1</v>
      </c>
      <c r="S12" s="112" t="s">
        <v>616</v>
      </c>
      <c r="T12" s="117" t="s">
        <v>669</v>
      </c>
      <c r="U12" s="112" t="s">
        <v>617</v>
      </c>
      <c r="V12" s="103">
        <v>1</v>
      </c>
    </row>
    <row r="13" spans="1:22" ht="25.5" x14ac:dyDescent="0.25">
      <c r="A13" s="258"/>
      <c r="B13" s="258"/>
      <c r="C13" s="126" t="s">
        <v>622</v>
      </c>
      <c r="D13" s="103">
        <v>2496.1999999999998</v>
      </c>
      <c r="E13" s="105">
        <v>0</v>
      </c>
      <c r="F13" s="105">
        <v>0</v>
      </c>
      <c r="G13" s="105">
        <v>0</v>
      </c>
      <c r="H13" s="105">
        <v>9142</v>
      </c>
      <c r="I13" s="103">
        <v>2000</v>
      </c>
      <c r="J13" s="106" t="s">
        <v>623</v>
      </c>
      <c r="K13" s="103">
        <v>2</v>
      </c>
      <c r="L13" s="103">
        <v>1</v>
      </c>
      <c r="M13" s="103">
        <v>3</v>
      </c>
      <c r="N13" s="105"/>
      <c r="O13" s="103">
        <v>1</v>
      </c>
      <c r="P13" s="103">
        <v>1</v>
      </c>
      <c r="Q13" s="103">
        <v>1</v>
      </c>
      <c r="R13" s="103">
        <v>1</v>
      </c>
      <c r="S13" s="112" t="s">
        <v>616</v>
      </c>
      <c r="T13" s="117" t="s">
        <v>669</v>
      </c>
      <c r="U13" s="112" t="s">
        <v>617</v>
      </c>
      <c r="V13" s="103">
        <v>1</v>
      </c>
    </row>
    <row r="14" spans="1:22" ht="51" x14ac:dyDescent="0.25">
      <c r="A14" s="127" t="s">
        <v>654</v>
      </c>
      <c r="B14" s="127" t="s">
        <v>374</v>
      </c>
      <c r="C14" s="127" t="s">
        <v>618</v>
      </c>
      <c r="D14" s="128">
        <v>4266.3</v>
      </c>
      <c r="E14" s="128">
        <v>415</v>
      </c>
      <c r="F14" s="128">
        <v>151.9</v>
      </c>
      <c r="G14" s="128">
        <v>0</v>
      </c>
      <c r="H14" s="128">
        <v>23124</v>
      </c>
      <c r="I14" s="129">
        <v>1973</v>
      </c>
      <c r="J14" s="129">
        <v>41</v>
      </c>
      <c r="K14" s="130" t="s">
        <v>648</v>
      </c>
      <c r="L14" s="130" t="s">
        <v>649</v>
      </c>
      <c r="M14" s="130" t="s">
        <v>655</v>
      </c>
      <c r="N14" s="130" t="s">
        <v>656</v>
      </c>
      <c r="O14" s="130" t="s">
        <v>650</v>
      </c>
      <c r="P14" s="130" t="s">
        <v>651</v>
      </c>
      <c r="Q14" s="130" t="s">
        <v>651</v>
      </c>
      <c r="R14" s="130" t="s">
        <v>651</v>
      </c>
      <c r="S14" s="124" t="s">
        <v>657</v>
      </c>
      <c r="T14" s="124" t="s">
        <v>658</v>
      </c>
      <c r="U14" s="124" t="s">
        <v>652</v>
      </c>
      <c r="V14" s="129" t="s">
        <v>653</v>
      </c>
    </row>
    <row r="15" spans="1:22" ht="38.25" x14ac:dyDescent="0.25">
      <c r="A15" s="113" t="s">
        <v>664</v>
      </c>
      <c r="B15" s="113" t="s">
        <v>374</v>
      </c>
      <c r="C15" s="114" t="s">
        <v>665</v>
      </c>
      <c r="D15" s="115">
        <v>2405.5</v>
      </c>
      <c r="E15" s="115">
        <v>174.5</v>
      </c>
      <c r="F15" s="115" t="s">
        <v>647</v>
      </c>
      <c r="G15" s="115" t="s">
        <v>647</v>
      </c>
      <c r="H15" s="115">
        <v>10740</v>
      </c>
      <c r="I15" s="116">
        <v>1961</v>
      </c>
      <c r="J15" s="116">
        <v>45</v>
      </c>
      <c r="K15" s="116" t="s">
        <v>666</v>
      </c>
      <c r="L15" s="116">
        <v>1</v>
      </c>
      <c r="M15" s="116">
        <v>3</v>
      </c>
      <c r="N15" s="116" t="s">
        <v>667</v>
      </c>
      <c r="O15" s="116">
        <v>1</v>
      </c>
      <c r="P15" s="116">
        <v>1</v>
      </c>
      <c r="Q15" s="116">
        <v>1</v>
      </c>
      <c r="R15" s="116">
        <v>1</v>
      </c>
      <c r="S15" s="117" t="s">
        <v>668</v>
      </c>
      <c r="T15" s="117" t="s">
        <v>669</v>
      </c>
      <c r="U15" s="117" t="s">
        <v>617</v>
      </c>
      <c r="V15" s="116">
        <v>1</v>
      </c>
    </row>
    <row r="16" spans="1:22" ht="38.25" x14ac:dyDescent="0.25">
      <c r="A16" s="114" t="s">
        <v>670</v>
      </c>
      <c r="B16" s="114" t="s">
        <v>374</v>
      </c>
      <c r="C16" s="114" t="s">
        <v>665</v>
      </c>
      <c r="D16" s="118">
        <v>4485.3</v>
      </c>
      <c r="E16" s="118" t="s">
        <v>671</v>
      </c>
      <c r="F16" s="118">
        <v>150.69999999999999</v>
      </c>
      <c r="G16" s="118">
        <v>0</v>
      </c>
      <c r="H16" s="118">
        <v>20640</v>
      </c>
      <c r="I16" s="119">
        <v>1969</v>
      </c>
      <c r="J16" s="119">
        <v>51</v>
      </c>
      <c r="K16" s="119" t="s">
        <v>672</v>
      </c>
      <c r="L16" s="119">
        <v>1</v>
      </c>
      <c r="M16" s="119">
        <v>2</v>
      </c>
      <c r="N16" s="119">
        <v>2008</v>
      </c>
      <c r="O16" s="119">
        <v>3</v>
      </c>
      <c r="P16" s="119">
        <v>1</v>
      </c>
      <c r="Q16" s="119">
        <v>1</v>
      </c>
      <c r="R16" s="119">
        <v>1</v>
      </c>
      <c r="S16" s="120"/>
      <c r="T16" s="120" t="s">
        <v>669</v>
      </c>
      <c r="U16" s="120" t="s">
        <v>617</v>
      </c>
      <c r="V16" s="119">
        <v>1</v>
      </c>
    </row>
    <row r="17" spans="1:22" ht="25.5" x14ac:dyDescent="0.25">
      <c r="A17" s="114" t="s">
        <v>673</v>
      </c>
      <c r="B17" s="114" t="s">
        <v>374</v>
      </c>
      <c r="C17" s="114" t="s">
        <v>665</v>
      </c>
      <c r="D17" s="118">
        <v>4449</v>
      </c>
      <c r="E17" s="118">
        <v>271.3</v>
      </c>
      <c r="F17" s="118">
        <v>147.80000000000001</v>
      </c>
      <c r="G17" s="118">
        <v>0</v>
      </c>
      <c r="H17" s="118">
        <v>19920</v>
      </c>
      <c r="I17" s="119">
        <v>1976</v>
      </c>
      <c r="J17" s="119">
        <v>39</v>
      </c>
      <c r="K17" s="119" t="s">
        <v>674</v>
      </c>
      <c r="L17" s="119">
        <v>1</v>
      </c>
      <c r="M17" s="119">
        <v>3</v>
      </c>
      <c r="N17" s="119">
        <v>2009</v>
      </c>
      <c r="O17" s="119">
        <v>1</v>
      </c>
      <c r="P17" s="119">
        <v>1</v>
      </c>
      <c r="Q17" s="119">
        <v>1</v>
      </c>
      <c r="R17" s="119">
        <v>1</v>
      </c>
      <c r="S17" s="120" t="s">
        <v>675</v>
      </c>
      <c r="T17" s="120" t="s">
        <v>669</v>
      </c>
      <c r="U17" s="120" t="s">
        <v>617</v>
      </c>
      <c r="V17" s="119">
        <v>1</v>
      </c>
    </row>
    <row r="18" spans="1:22" ht="51" x14ac:dyDescent="0.25">
      <c r="A18" s="255" t="s">
        <v>676</v>
      </c>
      <c r="B18" s="255" t="s">
        <v>414</v>
      </c>
      <c r="C18" s="114" t="s">
        <v>677</v>
      </c>
      <c r="D18" s="121">
        <v>2930.2</v>
      </c>
      <c r="E18" s="118">
        <v>271.5</v>
      </c>
      <c r="F18" s="118">
        <v>238.4</v>
      </c>
      <c r="G18" s="118" t="s">
        <v>647</v>
      </c>
      <c r="H18" s="121">
        <v>13971</v>
      </c>
      <c r="I18" s="121">
        <v>1986</v>
      </c>
      <c r="J18" s="119">
        <v>52.6</v>
      </c>
      <c r="K18" s="122" t="s">
        <v>678</v>
      </c>
      <c r="L18" s="119">
        <v>1</v>
      </c>
      <c r="M18" s="121">
        <v>3</v>
      </c>
      <c r="N18" s="119">
        <v>2014</v>
      </c>
      <c r="O18" s="119">
        <v>1</v>
      </c>
      <c r="P18" s="119">
        <v>1</v>
      </c>
      <c r="Q18" s="119">
        <v>1</v>
      </c>
      <c r="R18" s="119">
        <v>1</v>
      </c>
      <c r="S18" s="121" t="s">
        <v>679</v>
      </c>
      <c r="T18" s="121" t="s">
        <v>680</v>
      </c>
      <c r="U18" s="120" t="s">
        <v>617</v>
      </c>
      <c r="V18" s="119">
        <v>1</v>
      </c>
    </row>
    <row r="19" spans="1:22" ht="51" x14ac:dyDescent="0.25">
      <c r="A19" s="255"/>
      <c r="B19" s="255"/>
      <c r="C19" s="114" t="s">
        <v>681</v>
      </c>
      <c r="D19" s="121">
        <v>392.2</v>
      </c>
      <c r="E19" s="118" t="s">
        <v>647</v>
      </c>
      <c r="F19" s="118" t="s">
        <v>647</v>
      </c>
      <c r="G19" s="118" t="s">
        <v>647</v>
      </c>
      <c r="H19" s="121"/>
      <c r="I19" s="121">
        <v>1983</v>
      </c>
      <c r="J19" s="119">
        <v>12.8</v>
      </c>
      <c r="K19" s="122" t="s">
        <v>682</v>
      </c>
      <c r="L19" s="119">
        <v>2</v>
      </c>
      <c r="M19" s="121">
        <v>3</v>
      </c>
      <c r="N19" s="119" t="s">
        <v>647</v>
      </c>
      <c r="O19" s="119">
        <v>1</v>
      </c>
      <c r="P19" s="119">
        <v>1</v>
      </c>
      <c r="Q19" s="119">
        <v>1</v>
      </c>
      <c r="R19" s="119">
        <v>1</v>
      </c>
      <c r="S19" s="121" t="s">
        <v>679</v>
      </c>
      <c r="T19" s="121" t="s">
        <v>680</v>
      </c>
      <c r="U19" s="120">
        <v>1.3</v>
      </c>
      <c r="V19" s="119">
        <v>2</v>
      </c>
    </row>
    <row r="20" spans="1:22" ht="51" x14ac:dyDescent="0.25">
      <c r="A20" s="255"/>
      <c r="B20" s="255"/>
      <c r="C20" s="114" t="s">
        <v>683</v>
      </c>
      <c r="D20" s="121">
        <v>148.4</v>
      </c>
      <c r="E20" s="118" t="s">
        <v>647</v>
      </c>
      <c r="F20" s="118" t="s">
        <v>647</v>
      </c>
      <c r="G20" s="118" t="s">
        <v>647</v>
      </c>
      <c r="H20" s="121">
        <v>163.80000000000001</v>
      </c>
      <c r="I20" s="121">
        <v>2016</v>
      </c>
      <c r="J20" s="122" t="s">
        <v>684</v>
      </c>
      <c r="K20" s="122" t="s">
        <v>685</v>
      </c>
      <c r="L20" s="119">
        <v>1</v>
      </c>
      <c r="M20" s="121" t="s">
        <v>686</v>
      </c>
      <c r="N20" s="119" t="s">
        <v>647</v>
      </c>
      <c r="O20" s="119">
        <v>1</v>
      </c>
      <c r="P20" s="119">
        <v>1</v>
      </c>
      <c r="Q20" s="119">
        <v>1</v>
      </c>
      <c r="R20" s="119">
        <v>1</v>
      </c>
      <c r="S20" s="121" t="s">
        <v>679</v>
      </c>
      <c r="T20" s="121" t="s">
        <v>680</v>
      </c>
      <c r="U20" s="120" t="s">
        <v>617</v>
      </c>
      <c r="V20" s="121" t="s">
        <v>687</v>
      </c>
    </row>
    <row r="21" spans="1:22" x14ac:dyDescent="0.25">
      <c r="A21" s="114" t="s">
        <v>688</v>
      </c>
      <c r="B21" s="114" t="s">
        <v>374</v>
      </c>
      <c r="C21" s="114" t="s">
        <v>665</v>
      </c>
      <c r="D21" s="118">
        <v>8921.2000000000007</v>
      </c>
      <c r="E21" s="118">
        <v>271</v>
      </c>
      <c r="F21" s="118">
        <v>276</v>
      </c>
      <c r="G21" s="118">
        <v>0</v>
      </c>
      <c r="H21" s="118">
        <v>35984</v>
      </c>
      <c r="I21" s="119">
        <v>2001</v>
      </c>
      <c r="J21" s="119">
        <v>9</v>
      </c>
      <c r="K21" s="119" t="s">
        <v>674</v>
      </c>
      <c r="L21" s="119">
        <v>1</v>
      </c>
      <c r="M21" s="119">
        <v>3</v>
      </c>
      <c r="N21" s="119" t="s">
        <v>689</v>
      </c>
      <c r="O21" s="119">
        <v>1</v>
      </c>
      <c r="P21" s="119">
        <v>1</v>
      </c>
      <c r="Q21" s="119">
        <v>1</v>
      </c>
      <c r="R21" s="119">
        <v>1</v>
      </c>
      <c r="S21" s="120" t="s">
        <v>690</v>
      </c>
      <c r="T21" s="120" t="s">
        <v>669</v>
      </c>
      <c r="U21" s="120" t="s">
        <v>617</v>
      </c>
      <c r="V21" s="119">
        <v>1</v>
      </c>
    </row>
    <row r="22" spans="1:22" ht="25.5" x14ac:dyDescent="0.25">
      <c r="A22" s="114" t="s">
        <v>691</v>
      </c>
      <c r="B22" s="114" t="s">
        <v>374</v>
      </c>
      <c r="C22" s="114" t="s">
        <v>665</v>
      </c>
      <c r="D22" s="118">
        <v>6709.4</v>
      </c>
      <c r="E22" s="118">
        <v>293.5</v>
      </c>
      <c r="F22" s="118">
        <v>176.4</v>
      </c>
      <c r="G22" s="118">
        <v>0</v>
      </c>
      <c r="H22" s="118">
        <v>28343</v>
      </c>
      <c r="I22" s="119">
        <v>1990</v>
      </c>
      <c r="J22" s="119">
        <v>30</v>
      </c>
      <c r="K22" s="119" t="s">
        <v>692</v>
      </c>
      <c r="L22" s="119">
        <v>1</v>
      </c>
      <c r="M22" s="119">
        <v>3</v>
      </c>
      <c r="N22" s="119" t="s">
        <v>693</v>
      </c>
      <c r="O22" s="119">
        <v>3</v>
      </c>
      <c r="P22" s="119">
        <v>1</v>
      </c>
      <c r="Q22" s="119">
        <v>1</v>
      </c>
      <c r="R22" s="119">
        <v>1</v>
      </c>
      <c r="S22" s="120" t="s">
        <v>675</v>
      </c>
      <c r="T22" s="120" t="s">
        <v>669</v>
      </c>
      <c r="U22" s="120" t="s">
        <v>617</v>
      </c>
      <c r="V22" s="119">
        <v>1</v>
      </c>
    </row>
    <row r="23" spans="1:22" ht="25.5" x14ac:dyDescent="0.25">
      <c r="A23" s="114" t="s">
        <v>694</v>
      </c>
      <c r="B23" s="114" t="s">
        <v>374</v>
      </c>
      <c r="C23" s="114" t="s">
        <v>665</v>
      </c>
      <c r="D23" s="118">
        <v>1497.6</v>
      </c>
      <c r="E23" s="118">
        <v>97.3</v>
      </c>
      <c r="F23" s="118">
        <v>97.3</v>
      </c>
      <c r="G23" s="118" t="s">
        <v>695</v>
      </c>
      <c r="H23" s="118"/>
      <c r="I23" s="119">
        <v>1986</v>
      </c>
      <c r="J23" s="119">
        <v>45</v>
      </c>
      <c r="K23" s="119" t="s">
        <v>696</v>
      </c>
      <c r="L23" s="119">
        <v>2</v>
      </c>
      <c r="M23" s="119">
        <v>3</v>
      </c>
      <c r="N23" s="119"/>
      <c r="O23" s="119">
        <v>1</v>
      </c>
      <c r="P23" s="119">
        <v>1</v>
      </c>
      <c r="Q23" s="119">
        <v>1</v>
      </c>
      <c r="R23" s="119">
        <v>1</v>
      </c>
      <c r="S23" s="120" t="s">
        <v>697</v>
      </c>
      <c r="T23" s="120" t="s">
        <v>669</v>
      </c>
      <c r="U23" s="120">
        <v>2.2999999999999998</v>
      </c>
      <c r="V23" s="119">
        <v>1</v>
      </c>
    </row>
    <row r="24" spans="1:22" ht="80.25" customHeight="1" x14ac:dyDescent="0.25">
      <c r="A24" s="255" t="s">
        <v>698</v>
      </c>
      <c r="B24" s="255" t="s">
        <v>374</v>
      </c>
      <c r="C24" s="114" t="s">
        <v>665</v>
      </c>
      <c r="D24" s="118">
        <v>102.9</v>
      </c>
      <c r="E24" s="118"/>
      <c r="F24" s="118"/>
      <c r="G24" s="118"/>
      <c r="H24" s="118"/>
      <c r="I24" s="119">
        <v>1973</v>
      </c>
      <c r="J24" s="119">
        <v>59.17</v>
      </c>
      <c r="K24" s="119" t="s">
        <v>699</v>
      </c>
      <c r="L24" s="119">
        <v>2</v>
      </c>
      <c r="M24" s="119">
        <v>3</v>
      </c>
      <c r="N24" s="119"/>
      <c r="O24" s="119">
        <v>1</v>
      </c>
      <c r="P24" s="119">
        <v>1</v>
      </c>
      <c r="Q24" s="119">
        <v>1</v>
      </c>
      <c r="R24" s="119">
        <v>1</v>
      </c>
      <c r="S24" s="120" t="s">
        <v>700</v>
      </c>
      <c r="T24" s="120" t="s">
        <v>701</v>
      </c>
      <c r="U24" s="120" t="s">
        <v>617</v>
      </c>
      <c r="V24" s="119">
        <v>1</v>
      </c>
    </row>
    <row r="25" spans="1:22" ht="81.75" customHeight="1" x14ac:dyDescent="0.25">
      <c r="A25" s="255"/>
      <c r="B25" s="255"/>
      <c r="C25" s="114" t="s">
        <v>665</v>
      </c>
      <c r="D25" s="118">
        <v>560.79999999999995</v>
      </c>
      <c r="E25" s="118"/>
      <c r="F25" s="118">
        <v>79.099999999999994</v>
      </c>
      <c r="G25" s="118"/>
      <c r="H25" s="118"/>
      <c r="I25" s="119">
        <v>1973</v>
      </c>
      <c r="J25" s="119">
        <v>50.39</v>
      </c>
      <c r="K25" s="119" t="s">
        <v>699</v>
      </c>
      <c r="L25" s="119">
        <v>2</v>
      </c>
      <c r="M25" s="119">
        <v>3</v>
      </c>
      <c r="N25" s="119">
        <v>2013</v>
      </c>
      <c r="O25" s="119">
        <v>1</v>
      </c>
      <c r="P25" s="119">
        <v>1</v>
      </c>
      <c r="Q25" s="119">
        <v>1</v>
      </c>
      <c r="R25" s="119">
        <v>1</v>
      </c>
      <c r="S25" s="120" t="s">
        <v>700</v>
      </c>
      <c r="T25" s="120" t="s">
        <v>701</v>
      </c>
      <c r="U25" s="120">
        <v>2.2999999999999998</v>
      </c>
      <c r="V25" s="119">
        <v>1</v>
      </c>
    </row>
    <row r="26" spans="1:22" ht="38.25" x14ac:dyDescent="0.25">
      <c r="A26" s="120" t="s">
        <v>702</v>
      </c>
      <c r="B26" s="114" t="s">
        <v>374</v>
      </c>
      <c r="C26" s="114" t="s">
        <v>665</v>
      </c>
      <c r="D26" s="118">
        <v>3110.4</v>
      </c>
      <c r="E26" s="118">
        <v>1340.4</v>
      </c>
      <c r="F26" s="118">
        <v>0</v>
      </c>
      <c r="G26" s="118">
        <v>0</v>
      </c>
      <c r="H26" s="118">
        <v>18616</v>
      </c>
      <c r="I26" s="119">
        <v>2005</v>
      </c>
      <c r="J26" s="119">
        <v>31.5</v>
      </c>
      <c r="K26" s="119">
        <v>1</v>
      </c>
      <c r="L26" s="119">
        <v>1</v>
      </c>
      <c r="M26" s="119">
        <v>3</v>
      </c>
      <c r="N26" s="119">
        <v>2005</v>
      </c>
      <c r="O26" s="119">
        <v>1</v>
      </c>
      <c r="P26" s="119">
        <v>1</v>
      </c>
      <c r="Q26" s="119">
        <v>1</v>
      </c>
      <c r="R26" s="119">
        <v>1</v>
      </c>
      <c r="S26" s="120" t="s">
        <v>703</v>
      </c>
      <c r="T26" s="120" t="s">
        <v>669</v>
      </c>
      <c r="U26" s="120" t="s">
        <v>617</v>
      </c>
      <c r="V26" s="119">
        <v>1</v>
      </c>
    </row>
    <row r="27" spans="1:22" ht="59.25" customHeight="1" x14ac:dyDescent="0.25">
      <c r="A27" s="120" t="s">
        <v>704</v>
      </c>
      <c r="B27" s="114" t="s">
        <v>374</v>
      </c>
      <c r="C27" s="114" t="s">
        <v>665</v>
      </c>
      <c r="D27" s="118">
        <v>460.5</v>
      </c>
      <c r="E27" s="118">
        <v>250.1</v>
      </c>
      <c r="F27" s="118">
        <v>0</v>
      </c>
      <c r="G27" s="118">
        <v>0</v>
      </c>
      <c r="H27" s="118">
        <v>2204</v>
      </c>
      <c r="I27" s="119">
        <v>1964</v>
      </c>
      <c r="J27" s="119">
        <v>16.3</v>
      </c>
      <c r="K27" s="119">
        <v>1</v>
      </c>
      <c r="L27" s="119">
        <v>2</v>
      </c>
      <c r="M27" s="119">
        <v>3</v>
      </c>
      <c r="N27" s="119">
        <v>2014</v>
      </c>
      <c r="O27" s="119">
        <v>1</v>
      </c>
      <c r="P27" s="119">
        <v>1</v>
      </c>
      <c r="Q27" s="119">
        <v>1</v>
      </c>
      <c r="R27" s="119">
        <v>1</v>
      </c>
      <c r="S27" s="120" t="s">
        <v>703</v>
      </c>
      <c r="T27" s="120" t="s">
        <v>669</v>
      </c>
      <c r="U27" s="120">
        <v>2.2999999999999998</v>
      </c>
      <c r="V27" s="119">
        <v>2</v>
      </c>
    </row>
    <row r="28" spans="1:22" ht="88.5" customHeight="1" x14ac:dyDescent="0.25">
      <c r="A28" s="120" t="s">
        <v>705</v>
      </c>
      <c r="B28" s="114" t="s">
        <v>374</v>
      </c>
      <c r="C28" s="114" t="s">
        <v>665</v>
      </c>
      <c r="D28" s="118">
        <v>299.77</v>
      </c>
      <c r="E28" s="118">
        <v>153.1</v>
      </c>
      <c r="F28" s="118">
        <v>0</v>
      </c>
      <c r="G28" s="118">
        <v>0</v>
      </c>
      <c r="H28" s="118">
        <v>939.15</v>
      </c>
      <c r="I28" s="119">
        <v>1994</v>
      </c>
      <c r="J28" s="119">
        <v>7.7</v>
      </c>
      <c r="K28" s="119">
        <v>2</v>
      </c>
      <c r="L28" s="119">
        <v>2</v>
      </c>
      <c r="M28" s="119">
        <v>3</v>
      </c>
      <c r="N28" s="119">
        <v>2016</v>
      </c>
      <c r="O28" s="119">
        <v>1</v>
      </c>
      <c r="P28" s="119">
        <v>1</v>
      </c>
      <c r="Q28" s="119">
        <v>1</v>
      </c>
      <c r="R28" s="119">
        <v>1</v>
      </c>
      <c r="S28" s="120" t="s">
        <v>703</v>
      </c>
      <c r="T28" s="120" t="s">
        <v>669</v>
      </c>
      <c r="U28" s="120">
        <v>2.2999999999999998</v>
      </c>
      <c r="V28" s="119">
        <v>1</v>
      </c>
    </row>
    <row r="29" spans="1:22" ht="45.75" customHeight="1" x14ac:dyDescent="0.25">
      <c r="A29" s="183" t="s">
        <v>706</v>
      </c>
      <c r="B29" s="114" t="s">
        <v>374</v>
      </c>
      <c r="C29" s="114" t="s">
        <v>707</v>
      </c>
      <c r="D29" s="118">
        <v>319</v>
      </c>
      <c r="E29" s="118" t="s">
        <v>647</v>
      </c>
      <c r="F29" s="118" t="s">
        <v>647</v>
      </c>
      <c r="G29" s="118" t="s">
        <v>647</v>
      </c>
      <c r="H29" s="118">
        <v>1524.77</v>
      </c>
      <c r="I29" s="119">
        <v>1982</v>
      </c>
      <c r="J29" s="119">
        <v>0.25</v>
      </c>
      <c r="K29" s="119" t="s">
        <v>708</v>
      </c>
      <c r="L29" s="119">
        <v>1</v>
      </c>
      <c r="M29" s="119">
        <v>3</v>
      </c>
      <c r="N29" s="119">
        <v>2007</v>
      </c>
      <c r="O29" s="119">
        <v>1</v>
      </c>
      <c r="P29" s="119">
        <v>1</v>
      </c>
      <c r="Q29" s="119">
        <v>1</v>
      </c>
      <c r="R29" s="119">
        <v>1</v>
      </c>
      <c r="S29" s="120" t="s">
        <v>675</v>
      </c>
      <c r="T29" s="120" t="s">
        <v>669</v>
      </c>
      <c r="U29" s="120" t="s">
        <v>709</v>
      </c>
      <c r="V29" s="119">
        <v>1</v>
      </c>
    </row>
    <row r="30" spans="1:22" s="172" customFormat="1" ht="25.5" x14ac:dyDescent="0.25">
      <c r="A30" s="184" t="s">
        <v>855</v>
      </c>
      <c r="B30" s="173" t="s">
        <v>374</v>
      </c>
      <c r="C30" s="173" t="s">
        <v>856</v>
      </c>
      <c r="D30" s="174">
        <v>941.5</v>
      </c>
      <c r="E30" s="174">
        <v>163.59</v>
      </c>
      <c r="F30" s="174">
        <v>163.59</v>
      </c>
      <c r="G30" s="174"/>
      <c r="H30" s="174">
        <v>7260</v>
      </c>
      <c r="I30" s="175">
        <v>2012</v>
      </c>
      <c r="J30" s="175">
        <v>7</v>
      </c>
      <c r="K30" s="175"/>
      <c r="L30" s="175">
        <v>1</v>
      </c>
      <c r="M30" s="175">
        <v>3</v>
      </c>
      <c r="N30" s="175"/>
      <c r="O30" s="175">
        <v>1</v>
      </c>
      <c r="P30" s="175">
        <v>1</v>
      </c>
      <c r="Q30" s="175">
        <v>1</v>
      </c>
      <c r="R30" s="175">
        <v>1</v>
      </c>
      <c r="S30" s="120" t="s">
        <v>675</v>
      </c>
      <c r="T30" s="170" t="s">
        <v>669</v>
      </c>
      <c r="U30" s="170" t="s">
        <v>709</v>
      </c>
      <c r="V30" s="171">
        <v>1</v>
      </c>
    </row>
  </sheetData>
  <mergeCells count="31">
    <mergeCell ref="S6:S7"/>
    <mergeCell ref="T6:T7"/>
    <mergeCell ref="V6:V7"/>
    <mergeCell ref="E6:G6"/>
    <mergeCell ref="Q6:Q7"/>
    <mergeCell ref="R6:R7"/>
    <mergeCell ref="U6:U7"/>
    <mergeCell ref="N6:N7"/>
    <mergeCell ref="L6:L7"/>
    <mergeCell ref="O6:O7"/>
    <mergeCell ref="P6:P7"/>
    <mergeCell ref="I6:I7"/>
    <mergeCell ref="J6:J7"/>
    <mergeCell ref="K6:K7"/>
    <mergeCell ref="D1:O1"/>
    <mergeCell ref="D2:O2"/>
    <mergeCell ref="D3:I3"/>
    <mergeCell ref="D4:I4"/>
    <mergeCell ref="D5:V5"/>
    <mergeCell ref="A18:A20"/>
    <mergeCell ref="B18:B20"/>
    <mergeCell ref="A24:A25"/>
    <mergeCell ref="B24:B25"/>
    <mergeCell ref="M6:M7"/>
    <mergeCell ref="D6:D7"/>
    <mergeCell ref="H6:H7"/>
    <mergeCell ref="A8:A13"/>
    <mergeCell ref="B8:B13"/>
    <mergeCell ref="A5:A7"/>
    <mergeCell ref="B5:B7"/>
    <mergeCell ref="C5:C7"/>
  </mergeCells>
  <phoneticPr fontId="62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F0"/>
  </sheetPr>
  <dimension ref="A1:W22"/>
  <sheetViews>
    <sheetView zoomScale="80" zoomScaleNormal="80" workbookViewId="0">
      <selection activeCell="A5" sqref="A5:W7"/>
    </sheetView>
  </sheetViews>
  <sheetFormatPr defaultRowHeight="15" x14ac:dyDescent="0.25"/>
  <cols>
    <col min="1" max="1" width="22.5703125" bestFit="1" customWidth="1"/>
    <col min="2" max="2" width="18.85546875" customWidth="1"/>
    <col min="3" max="3" width="12.85546875" customWidth="1"/>
    <col min="6" max="6" width="13.5703125" customWidth="1"/>
    <col min="7" max="7" width="13.42578125" customWidth="1"/>
    <col min="8" max="8" width="17.140625" customWidth="1"/>
    <col min="9" max="9" width="12.7109375" customWidth="1"/>
    <col min="10" max="10" width="15.28515625" customWidth="1"/>
    <col min="11" max="13" width="14.7109375" customWidth="1"/>
    <col min="14" max="14" width="15.140625" customWidth="1"/>
    <col min="15" max="15" width="11.7109375" customWidth="1"/>
    <col min="16" max="16" width="16.7109375" customWidth="1"/>
    <col min="17" max="18" width="10.85546875" customWidth="1"/>
    <col min="19" max="19" width="12" customWidth="1"/>
    <col min="20" max="20" width="20.42578125" customWidth="1"/>
    <col min="21" max="21" width="19.140625" customWidth="1"/>
    <col min="22" max="22" width="14.140625" customWidth="1"/>
  </cols>
  <sheetData>
    <row r="1" spans="1:23" ht="18" x14ac:dyDescent="0.25">
      <c r="A1" s="84"/>
      <c r="B1" s="259" t="s">
        <v>59</v>
      </c>
      <c r="C1" s="259"/>
      <c r="D1" s="259"/>
      <c r="E1" s="259"/>
      <c r="F1" s="259"/>
      <c r="G1" s="259"/>
      <c r="H1" s="259"/>
      <c r="I1" s="259"/>
      <c r="J1" s="259"/>
      <c r="K1" s="85"/>
      <c r="L1" s="85"/>
      <c r="M1" s="85"/>
      <c r="N1" s="85"/>
      <c r="O1" s="85"/>
      <c r="P1" s="85"/>
      <c r="Q1" s="87"/>
      <c r="R1" s="87"/>
      <c r="S1" s="87"/>
      <c r="T1" s="87"/>
      <c r="U1" s="87"/>
      <c r="V1" s="87"/>
      <c r="W1" s="87"/>
    </row>
    <row r="2" spans="1:23" ht="18" x14ac:dyDescent="0.25">
      <c r="A2" s="85"/>
      <c r="B2" s="259" t="s">
        <v>73</v>
      </c>
      <c r="C2" s="259"/>
      <c r="D2" s="259"/>
      <c r="E2" s="259"/>
      <c r="F2" s="259"/>
      <c r="G2" s="259"/>
      <c r="H2" s="259"/>
      <c r="I2" s="259"/>
      <c r="J2" s="259"/>
      <c r="K2" s="85"/>
      <c r="L2" s="85"/>
      <c r="M2" s="85"/>
      <c r="N2" s="85"/>
      <c r="O2" s="85"/>
      <c r="P2" s="85"/>
      <c r="Q2" s="87"/>
      <c r="R2" s="87"/>
      <c r="S2" s="87"/>
      <c r="T2" s="87"/>
      <c r="U2" s="87"/>
      <c r="V2" s="87"/>
      <c r="W2" s="87"/>
    </row>
    <row r="3" spans="1:23" x14ac:dyDescent="0.25">
      <c r="A3" s="85"/>
      <c r="B3" s="260" t="s">
        <v>896</v>
      </c>
      <c r="C3" s="260"/>
      <c r="D3" s="260"/>
      <c r="E3" s="88"/>
      <c r="F3" s="88"/>
      <c r="G3" s="88"/>
      <c r="H3" s="88"/>
      <c r="I3" s="88"/>
      <c r="J3" s="89"/>
      <c r="K3" s="85"/>
      <c r="L3" s="85"/>
      <c r="M3" s="85"/>
      <c r="N3" s="85"/>
      <c r="O3" s="85"/>
      <c r="P3" s="85"/>
      <c r="Q3" s="87"/>
      <c r="R3" s="87"/>
      <c r="S3" s="87"/>
      <c r="T3" s="87"/>
      <c r="U3" s="87"/>
      <c r="V3" s="87"/>
      <c r="W3" s="87"/>
    </row>
    <row r="4" spans="1:23" x14ac:dyDescent="0.25">
      <c r="A4" s="84"/>
      <c r="B4" s="260" t="s">
        <v>587</v>
      </c>
      <c r="C4" s="260"/>
      <c r="D4" s="260"/>
      <c r="E4" s="88"/>
      <c r="F4" s="88"/>
      <c r="G4" s="88"/>
      <c r="H4" s="88"/>
      <c r="I4" s="88"/>
      <c r="J4" s="89"/>
      <c r="K4" s="85"/>
      <c r="L4" s="85"/>
      <c r="M4" s="85"/>
      <c r="N4" s="85"/>
      <c r="O4" s="85"/>
      <c r="P4" s="85"/>
      <c r="Q4" s="87"/>
      <c r="R4" s="87"/>
      <c r="S4" s="87"/>
      <c r="T4" s="87"/>
      <c r="U4" s="87"/>
      <c r="V4" s="87"/>
      <c r="W4" s="87"/>
    </row>
    <row r="5" spans="1:23" x14ac:dyDescent="0.25">
      <c r="A5" s="290" t="s">
        <v>515</v>
      </c>
      <c r="B5" s="290" t="s">
        <v>515</v>
      </c>
      <c r="C5" s="290" t="s">
        <v>545</v>
      </c>
      <c r="D5" s="290" t="s">
        <v>544</v>
      </c>
      <c r="E5" s="290" t="s">
        <v>62</v>
      </c>
      <c r="F5" s="290"/>
      <c r="G5" s="290"/>
      <c r="H5" s="290"/>
      <c r="I5" s="290"/>
      <c r="J5" s="290"/>
      <c r="K5" s="290"/>
      <c r="L5" s="290"/>
      <c r="M5" s="290"/>
      <c r="N5" s="290"/>
      <c r="O5" s="290"/>
      <c r="P5" s="290"/>
      <c r="Q5" s="290"/>
      <c r="R5" s="290"/>
      <c r="S5" s="290"/>
      <c r="T5" s="290"/>
      <c r="U5" s="290"/>
      <c r="V5" s="290"/>
      <c r="W5" s="290"/>
    </row>
    <row r="6" spans="1:23" x14ac:dyDescent="0.25">
      <c r="A6" s="290"/>
      <c r="B6" s="290"/>
      <c r="C6" s="290"/>
      <c r="D6" s="290"/>
      <c r="E6" s="290" t="s">
        <v>63</v>
      </c>
      <c r="F6" s="298" t="s">
        <v>550</v>
      </c>
      <c r="G6" s="298"/>
      <c r="H6" s="298"/>
      <c r="I6" s="290" t="s">
        <v>64</v>
      </c>
      <c r="J6" s="290" t="s">
        <v>65</v>
      </c>
      <c r="K6" s="298" t="s">
        <v>493</v>
      </c>
      <c r="L6" s="298" t="s">
        <v>546</v>
      </c>
      <c r="M6" s="290" t="s">
        <v>66</v>
      </c>
      <c r="N6" s="290" t="s">
        <v>67</v>
      </c>
      <c r="O6" s="298" t="s">
        <v>494</v>
      </c>
      <c r="P6" s="290" t="s">
        <v>553</v>
      </c>
      <c r="Q6" s="290" t="s">
        <v>69</v>
      </c>
      <c r="R6" s="298" t="s">
        <v>551</v>
      </c>
      <c r="S6" s="298" t="s">
        <v>552</v>
      </c>
      <c r="T6" s="290" t="s">
        <v>70</v>
      </c>
      <c r="U6" s="290" t="s">
        <v>71</v>
      </c>
      <c r="V6" s="290" t="s">
        <v>554</v>
      </c>
      <c r="W6" s="290" t="s">
        <v>72</v>
      </c>
    </row>
    <row r="7" spans="1:23" ht="132.75" customHeight="1" x14ac:dyDescent="0.25">
      <c r="A7" s="290"/>
      <c r="B7" s="290"/>
      <c r="C7" s="290"/>
      <c r="D7" s="290"/>
      <c r="E7" s="290"/>
      <c r="F7" s="297" t="s">
        <v>547</v>
      </c>
      <c r="G7" s="297" t="s">
        <v>548</v>
      </c>
      <c r="H7" s="297" t="s">
        <v>549</v>
      </c>
      <c r="I7" s="290"/>
      <c r="J7" s="290"/>
      <c r="K7" s="298"/>
      <c r="L7" s="298"/>
      <c r="M7" s="290"/>
      <c r="N7" s="290"/>
      <c r="O7" s="298"/>
      <c r="P7" s="290"/>
      <c r="Q7" s="290"/>
      <c r="R7" s="298"/>
      <c r="S7" s="298"/>
      <c r="T7" s="290"/>
      <c r="U7" s="290"/>
      <c r="V7" s="290"/>
      <c r="W7" s="290"/>
    </row>
    <row r="8" spans="1:23" ht="31.5" customHeight="1" x14ac:dyDescent="0.25">
      <c r="A8" s="194" t="s">
        <v>593</v>
      </c>
      <c r="B8" s="187" t="s">
        <v>594</v>
      </c>
      <c r="C8" s="190"/>
      <c r="D8" s="190"/>
      <c r="E8" s="191"/>
      <c r="F8" s="191"/>
      <c r="G8" s="191"/>
      <c r="H8" s="191"/>
      <c r="I8" s="191"/>
      <c r="J8" s="192"/>
      <c r="K8" s="192"/>
      <c r="L8" s="192"/>
      <c r="M8" s="192"/>
      <c r="N8" s="192"/>
      <c r="O8" s="192"/>
      <c r="P8" s="192"/>
      <c r="Q8" s="192"/>
      <c r="R8" s="192"/>
      <c r="S8" s="192"/>
      <c r="T8" s="188"/>
      <c r="U8" s="188"/>
      <c r="V8" s="188"/>
      <c r="W8" s="192"/>
    </row>
    <row r="9" spans="1:23" ht="31.5" customHeight="1" x14ac:dyDescent="0.25">
      <c r="A9" s="194" t="s">
        <v>593</v>
      </c>
      <c r="B9" s="189" t="s">
        <v>595</v>
      </c>
      <c r="C9" s="190" t="s">
        <v>374</v>
      </c>
      <c r="D9" s="190"/>
      <c r="E9" s="191">
        <v>3362.9</v>
      </c>
      <c r="F9" s="191">
        <v>70.3</v>
      </c>
      <c r="G9" s="191">
        <v>80.8</v>
      </c>
      <c r="H9" s="191"/>
      <c r="I9" s="191">
        <v>12536.25</v>
      </c>
      <c r="J9" s="191">
        <v>1983</v>
      </c>
      <c r="K9" s="193">
        <v>0.52</v>
      </c>
      <c r="L9" s="192" t="s">
        <v>596</v>
      </c>
      <c r="M9" s="192">
        <v>1</v>
      </c>
      <c r="N9" s="192">
        <v>3</v>
      </c>
      <c r="O9" s="192">
        <v>2019</v>
      </c>
      <c r="P9" s="192">
        <v>1</v>
      </c>
      <c r="Q9" s="192">
        <v>1</v>
      </c>
      <c r="R9" s="192">
        <v>1</v>
      </c>
      <c r="S9" s="192">
        <v>1</v>
      </c>
      <c r="T9" s="188" t="s">
        <v>597</v>
      </c>
      <c r="U9" s="188" t="s">
        <v>598</v>
      </c>
      <c r="V9" s="188">
        <v>1</v>
      </c>
      <c r="W9" s="188">
        <v>1</v>
      </c>
    </row>
    <row r="10" spans="1:23" ht="31.5" customHeight="1" x14ac:dyDescent="0.25">
      <c r="A10" s="194" t="s">
        <v>593</v>
      </c>
      <c r="B10" s="189" t="s">
        <v>599</v>
      </c>
      <c r="C10" s="190" t="s">
        <v>374</v>
      </c>
      <c r="D10" s="190"/>
      <c r="E10" s="191">
        <v>1745.6</v>
      </c>
      <c r="F10" s="191"/>
      <c r="G10" s="191">
        <v>83.1</v>
      </c>
      <c r="H10" s="191"/>
      <c r="I10" s="191">
        <v>7143.5924999999979</v>
      </c>
      <c r="J10" s="191">
        <v>1975</v>
      </c>
      <c r="K10" s="193">
        <v>0.65</v>
      </c>
      <c r="L10" s="192" t="s">
        <v>600</v>
      </c>
      <c r="M10" s="192">
        <v>1</v>
      </c>
      <c r="N10" s="192">
        <v>3</v>
      </c>
      <c r="O10" s="192"/>
      <c r="P10" s="192">
        <v>1</v>
      </c>
      <c r="Q10" s="192">
        <v>1</v>
      </c>
      <c r="R10" s="192">
        <v>1</v>
      </c>
      <c r="S10" s="192">
        <v>1</v>
      </c>
      <c r="T10" s="188" t="s">
        <v>597</v>
      </c>
      <c r="U10" s="188" t="s">
        <v>598</v>
      </c>
      <c r="V10" s="188">
        <v>1</v>
      </c>
      <c r="W10" s="188">
        <v>1</v>
      </c>
    </row>
    <row r="11" spans="1:23" ht="31.5" customHeight="1" x14ac:dyDescent="0.25">
      <c r="A11" s="194" t="s">
        <v>593</v>
      </c>
      <c r="B11" s="189" t="s">
        <v>601</v>
      </c>
      <c r="C11" s="190" t="s">
        <v>374</v>
      </c>
      <c r="D11" s="190"/>
      <c r="E11" s="191">
        <v>2145.6</v>
      </c>
      <c r="F11" s="191">
        <v>126.5</v>
      </c>
      <c r="G11" s="191">
        <v>69</v>
      </c>
      <c r="H11" s="191">
        <v>65.5</v>
      </c>
      <c r="I11" s="191">
        <v>7924.6407499999996</v>
      </c>
      <c r="J11" s="191">
        <v>1988</v>
      </c>
      <c r="K11" s="193">
        <v>0.6</v>
      </c>
      <c r="L11" s="192" t="s">
        <v>596</v>
      </c>
      <c r="M11" s="192">
        <v>1</v>
      </c>
      <c r="N11" s="192">
        <v>3</v>
      </c>
      <c r="O11" s="192"/>
      <c r="P11" s="192">
        <v>1</v>
      </c>
      <c r="Q11" s="192">
        <v>1</v>
      </c>
      <c r="R11" s="192">
        <v>1</v>
      </c>
      <c r="S11" s="192">
        <v>1</v>
      </c>
      <c r="T11" s="188" t="s">
        <v>597</v>
      </c>
      <c r="U11" s="188" t="s">
        <v>598</v>
      </c>
      <c r="V11" s="188">
        <v>1</v>
      </c>
      <c r="W11" s="188">
        <v>1</v>
      </c>
    </row>
    <row r="12" spans="1:23" ht="31.5" customHeight="1" x14ac:dyDescent="0.25">
      <c r="A12" s="194" t="s">
        <v>593</v>
      </c>
      <c r="B12" s="189" t="s">
        <v>602</v>
      </c>
      <c r="C12" s="190" t="s">
        <v>374</v>
      </c>
      <c r="D12" s="190"/>
      <c r="E12" s="191">
        <v>4076</v>
      </c>
      <c r="F12" s="191">
        <v>83.4</v>
      </c>
      <c r="G12" s="191">
        <v>83.8</v>
      </c>
      <c r="H12" s="191"/>
      <c r="I12" s="191">
        <v>14763</v>
      </c>
      <c r="J12" s="191">
        <v>2015</v>
      </c>
      <c r="K12" s="193">
        <v>0.02</v>
      </c>
      <c r="L12" s="192" t="s">
        <v>596</v>
      </c>
      <c r="M12" s="192">
        <v>1</v>
      </c>
      <c r="N12" s="192">
        <v>3</v>
      </c>
      <c r="O12" s="192"/>
      <c r="P12" s="192">
        <v>1</v>
      </c>
      <c r="Q12" s="192">
        <v>1</v>
      </c>
      <c r="R12" s="192">
        <v>1</v>
      </c>
      <c r="S12" s="192">
        <v>1</v>
      </c>
      <c r="T12" s="188" t="s">
        <v>597</v>
      </c>
      <c r="U12" s="188" t="s">
        <v>598</v>
      </c>
      <c r="V12" s="188">
        <v>1</v>
      </c>
      <c r="W12" s="188">
        <v>1</v>
      </c>
    </row>
    <row r="13" spans="1:23" ht="31.5" customHeight="1" x14ac:dyDescent="0.25">
      <c r="A13" s="194" t="s">
        <v>593</v>
      </c>
      <c r="B13" s="189" t="s">
        <v>603</v>
      </c>
      <c r="C13" s="190" t="s">
        <v>374</v>
      </c>
      <c r="D13" s="190"/>
      <c r="E13" s="191">
        <v>2806.72</v>
      </c>
      <c r="F13" s="191">
        <v>112.4</v>
      </c>
      <c r="G13" s="191">
        <v>68.099999999999994</v>
      </c>
      <c r="H13" s="191"/>
      <c r="I13" s="191">
        <v>12658.380999999999</v>
      </c>
      <c r="J13" s="191">
        <v>2017</v>
      </c>
      <c r="K13" s="193">
        <v>0.02</v>
      </c>
      <c r="L13" s="192" t="s">
        <v>600</v>
      </c>
      <c r="M13" s="192">
        <v>1</v>
      </c>
      <c r="N13" s="192">
        <v>3</v>
      </c>
      <c r="O13" s="192"/>
      <c r="P13" s="192">
        <v>1</v>
      </c>
      <c r="Q13" s="192">
        <v>1</v>
      </c>
      <c r="R13" s="192">
        <v>1</v>
      </c>
      <c r="S13" s="192">
        <v>1</v>
      </c>
      <c r="T13" s="188" t="s">
        <v>597</v>
      </c>
      <c r="U13" s="188" t="s">
        <v>598</v>
      </c>
      <c r="V13" s="188">
        <v>1</v>
      </c>
      <c r="W13" s="188">
        <v>1</v>
      </c>
    </row>
    <row r="14" spans="1:23" ht="31.5" customHeight="1" x14ac:dyDescent="0.25">
      <c r="A14" s="194" t="s">
        <v>593</v>
      </c>
      <c r="B14" s="189" t="s">
        <v>604</v>
      </c>
      <c r="C14" s="190" t="s">
        <v>374</v>
      </c>
      <c r="D14" s="190"/>
      <c r="E14" s="191">
        <v>1080.4000000000001</v>
      </c>
      <c r="F14" s="191">
        <v>72</v>
      </c>
      <c r="G14" s="191">
        <v>61.2</v>
      </c>
      <c r="H14" s="191"/>
      <c r="I14" s="191">
        <v>3855.24</v>
      </c>
      <c r="J14" s="191">
        <v>1972</v>
      </c>
      <c r="K14" s="193">
        <v>0.4</v>
      </c>
      <c r="L14" s="192" t="s">
        <v>600</v>
      </c>
      <c r="M14" s="192">
        <v>1</v>
      </c>
      <c r="N14" s="192">
        <v>3</v>
      </c>
      <c r="O14" s="192"/>
      <c r="P14" s="192">
        <v>1</v>
      </c>
      <c r="Q14" s="192">
        <v>1</v>
      </c>
      <c r="R14" s="192">
        <v>1</v>
      </c>
      <c r="S14" s="192">
        <v>1</v>
      </c>
      <c r="T14" s="188" t="s">
        <v>597</v>
      </c>
      <c r="U14" s="188" t="s">
        <v>598</v>
      </c>
      <c r="V14" s="188">
        <v>1</v>
      </c>
      <c r="W14" s="188">
        <v>1</v>
      </c>
    </row>
    <row r="15" spans="1:23" ht="31.5" customHeight="1" x14ac:dyDescent="0.25">
      <c r="A15" s="194" t="s">
        <v>593</v>
      </c>
      <c r="B15" s="189" t="s">
        <v>605</v>
      </c>
      <c r="C15" s="190" t="s">
        <v>374</v>
      </c>
      <c r="D15" s="190"/>
      <c r="E15" s="191">
        <v>3362</v>
      </c>
      <c r="F15" s="191">
        <v>234</v>
      </c>
      <c r="G15" s="191">
        <v>213.9</v>
      </c>
      <c r="H15" s="191"/>
      <c r="I15" s="191">
        <v>12764.304</v>
      </c>
      <c r="J15" s="191">
        <v>1977</v>
      </c>
      <c r="K15" s="193">
        <v>0.32</v>
      </c>
      <c r="L15" s="192" t="s">
        <v>596</v>
      </c>
      <c r="M15" s="192">
        <v>1</v>
      </c>
      <c r="N15" s="192">
        <v>3</v>
      </c>
      <c r="O15" s="192"/>
      <c r="P15" s="192">
        <v>1</v>
      </c>
      <c r="Q15" s="192">
        <v>1</v>
      </c>
      <c r="R15" s="192">
        <v>1</v>
      </c>
      <c r="S15" s="192">
        <v>1</v>
      </c>
      <c r="T15" s="188" t="s">
        <v>597</v>
      </c>
      <c r="U15" s="188" t="s">
        <v>598</v>
      </c>
      <c r="V15" s="188">
        <v>1</v>
      </c>
      <c r="W15" s="188">
        <v>1</v>
      </c>
    </row>
    <row r="16" spans="1:23" ht="31.5" customHeight="1" x14ac:dyDescent="0.25">
      <c r="A16" s="194" t="s">
        <v>593</v>
      </c>
      <c r="B16" s="189" t="s">
        <v>606</v>
      </c>
      <c r="C16" s="190" t="s">
        <v>374</v>
      </c>
      <c r="D16" s="190"/>
      <c r="E16" s="191">
        <v>1055.8</v>
      </c>
      <c r="F16" s="191">
        <v>61.6</v>
      </c>
      <c r="G16" s="191">
        <v>61.6</v>
      </c>
      <c r="H16" s="191"/>
      <c r="I16" s="191">
        <v>3747.2687999999998</v>
      </c>
      <c r="J16" s="191">
        <v>1987</v>
      </c>
      <c r="K16" s="193">
        <v>0.65</v>
      </c>
      <c r="L16" s="192" t="s">
        <v>600</v>
      </c>
      <c r="M16" s="192">
        <v>1</v>
      </c>
      <c r="N16" s="192">
        <v>3</v>
      </c>
      <c r="O16" s="192">
        <v>2019</v>
      </c>
      <c r="P16" s="192">
        <v>1</v>
      </c>
      <c r="Q16" s="192">
        <v>1</v>
      </c>
      <c r="R16" s="192">
        <v>1</v>
      </c>
      <c r="S16" s="192">
        <v>1</v>
      </c>
      <c r="T16" s="188" t="s">
        <v>597</v>
      </c>
      <c r="U16" s="188" t="s">
        <v>598</v>
      </c>
      <c r="V16" s="188">
        <v>1</v>
      </c>
      <c r="W16" s="188">
        <v>1</v>
      </c>
    </row>
    <row r="17" spans="1:23" ht="31.5" customHeight="1" x14ac:dyDescent="0.25">
      <c r="A17" s="194" t="s">
        <v>593</v>
      </c>
      <c r="B17" s="189" t="s">
        <v>607</v>
      </c>
      <c r="C17" s="190" t="s">
        <v>374</v>
      </c>
      <c r="D17" s="190"/>
      <c r="E17" s="191">
        <v>1080</v>
      </c>
      <c r="F17" s="191">
        <v>62.3</v>
      </c>
      <c r="G17" s="191">
        <v>62.3</v>
      </c>
      <c r="H17" s="191"/>
      <c r="I17" s="191">
        <v>3820.85635</v>
      </c>
      <c r="J17" s="191">
        <v>1970</v>
      </c>
      <c r="K17" s="193">
        <v>0.48</v>
      </c>
      <c r="L17" s="192" t="s">
        <v>600</v>
      </c>
      <c r="M17" s="192">
        <v>1</v>
      </c>
      <c r="N17" s="192">
        <v>3</v>
      </c>
      <c r="O17" s="192"/>
      <c r="P17" s="192">
        <v>1</v>
      </c>
      <c r="Q17" s="192">
        <v>1</v>
      </c>
      <c r="R17" s="192">
        <v>1</v>
      </c>
      <c r="S17" s="192">
        <v>1</v>
      </c>
      <c r="T17" s="188" t="s">
        <v>597</v>
      </c>
      <c r="U17" s="188" t="s">
        <v>598</v>
      </c>
      <c r="V17" s="188">
        <v>1</v>
      </c>
      <c r="W17" s="188">
        <v>1</v>
      </c>
    </row>
    <row r="18" spans="1:23" ht="31.5" customHeight="1" x14ac:dyDescent="0.25">
      <c r="A18" s="194" t="s">
        <v>593</v>
      </c>
      <c r="B18" s="189" t="s">
        <v>608</v>
      </c>
      <c r="C18" s="190" t="s">
        <v>374</v>
      </c>
      <c r="D18" s="190"/>
      <c r="E18" s="191">
        <v>3281.9</v>
      </c>
      <c r="F18" s="191">
        <v>351</v>
      </c>
      <c r="G18" s="191">
        <v>90.5</v>
      </c>
      <c r="H18" s="191"/>
      <c r="I18" s="191">
        <v>12011</v>
      </c>
      <c r="J18" s="191">
        <v>1985</v>
      </c>
      <c r="K18" s="193">
        <v>0.5</v>
      </c>
      <c r="L18" s="192" t="s">
        <v>596</v>
      </c>
      <c r="M18" s="192">
        <v>1</v>
      </c>
      <c r="N18" s="192">
        <v>3</v>
      </c>
      <c r="O18" s="192">
        <v>2019</v>
      </c>
      <c r="P18" s="192">
        <v>1</v>
      </c>
      <c r="Q18" s="192">
        <v>1</v>
      </c>
      <c r="R18" s="192">
        <v>1</v>
      </c>
      <c r="S18" s="192">
        <v>1</v>
      </c>
      <c r="T18" s="188" t="s">
        <v>597</v>
      </c>
      <c r="U18" s="188" t="s">
        <v>598</v>
      </c>
      <c r="V18" s="188">
        <v>1</v>
      </c>
      <c r="W18" s="188">
        <v>1</v>
      </c>
    </row>
    <row r="19" spans="1:23" ht="31.5" customHeight="1" x14ac:dyDescent="0.25">
      <c r="A19" s="194" t="s">
        <v>593</v>
      </c>
      <c r="B19" s="189" t="s">
        <v>609</v>
      </c>
      <c r="C19" s="190" t="s">
        <v>374</v>
      </c>
      <c r="D19" s="190"/>
      <c r="E19" s="191">
        <v>3136.3</v>
      </c>
      <c r="F19" s="191">
        <v>119.4</v>
      </c>
      <c r="G19" s="191">
        <v>81.400000000000006</v>
      </c>
      <c r="H19" s="191"/>
      <c r="I19" s="191">
        <v>12325.389299999997</v>
      </c>
      <c r="J19" s="191">
        <v>1979</v>
      </c>
      <c r="K19" s="193">
        <v>0.6</v>
      </c>
      <c r="L19" s="192" t="s">
        <v>596</v>
      </c>
      <c r="M19" s="192">
        <v>1</v>
      </c>
      <c r="N19" s="192">
        <v>3</v>
      </c>
      <c r="O19" s="192"/>
      <c r="P19" s="192">
        <v>1</v>
      </c>
      <c r="Q19" s="192">
        <v>1</v>
      </c>
      <c r="R19" s="192">
        <v>1</v>
      </c>
      <c r="S19" s="192">
        <v>1</v>
      </c>
      <c r="T19" s="188" t="s">
        <v>597</v>
      </c>
      <c r="U19" s="188" t="s">
        <v>598</v>
      </c>
      <c r="V19" s="188">
        <v>1</v>
      </c>
      <c r="W19" s="188">
        <v>1</v>
      </c>
    </row>
    <row r="20" spans="1:23" ht="31.5" customHeight="1" x14ac:dyDescent="0.25">
      <c r="A20" s="194" t="s">
        <v>593</v>
      </c>
      <c r="B20" s="189" t="s">
        <v>610</v>
      </c>
      <c r="C20" s="190" t="s">
        <v>374</v>
      </c>
      <c r="D20" s="190"/>
      <c r="E20" s="191">
        <v>3716.7</v>
      </c>
      <c r="F20" s="191">
        <v>172.2</v>
      </c>
      <c r="G20" s="191">
        <v>80.7</v>
      </c>
      <c r="H20" s="191">
        <v>64.400000000000006</v>
      </c>
      <c r="I20" s="191">
        <v>14512</v>
      </c>
      <c r="J20" s="191">
        <v>1990</v>
      </c>
      <c r="K20" s="193">
        <v>0.45</v>
      </c>
      <c r="L20" s="192" t="s">
        <v>596</v>
      </c>
      <c r="M20" s="192"/>
      <c r="N20" s="192">
        <v>3</v>
      </c>
      <c r="O20" s="192">
        <v>2018</v>
      </c>
      <c r="P20" s="192">
        <v>1</v>
      </c>
      <c r="Q20" s="192">
        <v>1</v>
      </c>
      <c r="R20" s="192">
        <v>1</v>
      </c>
      <c r="S20" s="192">
        <v>1</v>
      </c>
      <c r="T20" s="188" t="s">
        <v>597</v>
      </c>
      <c r="U20" s="188" t="s">
        <v>598</v>
      </c>
      <c r="V20" s="188">
        <v>1</v>
      </c>
      <c r="W20" s="188">
        <v>1</v>
      </c>
    </row>
    <row r="21" spans="1:23" ht="31.5" customHeight="1" x14ac:dyDescent="0.25">
      <c r="A21" s="194" t="s">
        <v>593</v>
      </c>
      <c r="B21" s="189" t="s">
        <v>611</v>
      </c>
      <c r="C21" s="190" t="s">
        <v>374</v>
      </c>
      <c r="D21" s="190"/>
      <c r="E21" s="191">
        <v>2233</v>
      </c>
      <c r="F21" s="191">
        <v>74.5</v>
      </c>
      <c r="G21" s="191">
        <v>74.5</v>
      </c>
      <c r="H21" s="191">
        <v>64.5</v>
      </c>
      <c r="I21" s="191">
        <v>8118.3049999999985</v>
      </c>
      <c r="J21" s="191">
        <v>1991</v>
      </c>
      <c r="K21" s="193">
        <v>0.42</v>
      </c>
      <c r="L21" s="192" t="s">
        <v>596</v>
      </c>
      <c r="M21" s="192">
        <v>1</v>
      </c>
      <c r="N21" s="192">
        <v>3</v>
      </c>
      <c r="O21" s="192">
        <v>2020</v>
      </c>
      <c r="P21" s="192">
        <v>1</v>
      </c>
      <c r="Q21" s="192">
        <v>1</v>
      </c>
      <c r="R21" s="192">
        <v>1</v>
      </c>
      <c r="S21" s="192">
        <v>1</v>
      </c>
      <c r="T21" s="188" t="s">
        <v>597</v>
      </c>
      <c r="U21" s="188" t="s">
        <v>598</v>
      </c>
      <c r="V21" s="188">
        <v>1</v>
      </c>
      <c r="W21" s="188">
        <v>1</v>
      </c>
    </row>
    <row r="22" spans="1:23" ht="31.5" customHeight="1" x14ac:dyDescent="0.25">
      <c r="A22" s="194" t="s">
        <v>593</v>
      </c>
      <c r="B22" s="189" t="s">
        <v>612</v>
      </c>
      <c r="C22" s="190" t="s">
        <v>374</v>
      </c>
      <c r="D22" s="190"/>
      <c r="E22" s="191">
        <v>1781.3</v>
      </c>
      <c r="F22" s="191">
        <v>72.7</v>
      </c>
      <c r="G22" s="191">
        <v>72.7</v>
      </c>
      <c r="H22" s="191"/>
      <c r="I22" s="191">
        <v>6904.3590000000004</v>
      </c>
      <c r="J22" s="191">
        <v>1985</v>
      </c>
      <c r="K22" s="193">
        <v>0.4</v>
      </c>
      <c r="L22" s="192" t="s">
        <v>596</v>
      </c>
      <c r="M22" s="192">
        <v>1</v>
      </c>
      <c r="N22" s="192">
        <v>3</v>
      </c>
      <c r="O22" s="192"/>
      <c r="P22" s="192">
        <v>1</v>
      </c>
      <c r="Q22" s="192">
        <v>1</v>
      </c>
      <c r="R22" s="192">
        <v>1</v>
      </c>
      <c r="S22" s="192">
        <v>1</v>
      </c>
      <c r="T22" s="188" t="s">
        <v>597</v>
      </c>
      <c r="U22" s="188" t="s">
        <v>598</v>
      </c>
      <c r="V22" s="188">
        <v>1</v>
      </c>
      <c r="W22" s="188">
        <v>1</v>
      </c>
    </row>
  </sheetData>
  <mergeCells count="26">
    <mergeCell ref="K6:K7"/>
    <mergeCell ref="B1:J1"/>
    <mergeCell ref="B2:J2"/>
    <mergeCell ref="B3:D3"/>
    <mergeCell ref="B4:D4"/>
    <mergeCell ref="A5:A7"/>
    <mergeCell ref="B5:B7"/>
    <mergeCell ref="C5:C7"/>
    <mergeCell ref="I6:I7"/>
    <mergeCell ref="J6:J7"/>
    <mergeCell ref="D5:D7"/>
    <mergeCell ref="E5:W5"/>
    <mergeCell ref="E6:E7"/>
    <mergeCell ref="F6:H6"/>
    <mergeCell ref="V6:V7"/>
    <mergeCell ref="W6:W7"/>
    <mergeCell ref="Q6:Q7"/>
    <mergeCell ref="R6:R7"/>
    <mergeCell ref="S6:S7"/>
    <mergeCell ref="T6:T7"/>
    <mergeCell ref="U6:U7"/>
    <mergeCell ref="L6:L7"/>
    <mergeCell ref="M6:M7"/>
    <mergeCell ref="N6:N7"/>
    <mergeCell ref="O6:O7"/>
    <mergeCell ref="P6:P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F0"/>
  </sheetPr>
  <dimension ref="A1:K9"/>
  <sheetViews>
    <sheetView topLeftCell="A4" workbookViewId="0">
      <selection activeCell="A5" sqref="A5:K6"/>
    </sheetView>
  </sheetViews>
  <sheetFormatPr defaultRowHeight="15" x14ac:dyDescent="0.25"/>
  <cols>
    <col min="1" max="1" width="27.140625" customWidth="1"/>
    <col min="9" max="10" width="18.7109375" customWidth="1"/>
  </cols>
  <sheetData>
    <row r="1" spans="1:11" ht="18" x14ac:dyDescent="0.25">
      <c r="A1" s="14"/>
      <c r="B1" s="261" t="s">
        <v>59</v>
      </c>
      <c r="C1" s="261"/>
      <c r="D1" s="261"/>
      <c r="E1" s="261"/>
      <c r="F1" s="261"/>
      <c r="G1" s="261"/>
      <c r="H1" s="15"/>
      <c r="I1" s="15"/>
      <c r="J1" s="15"/>
      <c r="K1" s="15"/>
    </row>
    <row r="2" spans="1:11" ht="18" x14ac:dyDescent="0.25">
      <c r="A2" s="15"/>
      <c r="B2" s="261" t="s">
        <v>590</v>
      </c>
      <c r="C2" s="261"/>
      <c r="D2" s="261"/>
      <c r="E2" s="261"/>
      <c r="F2" s="261"/>
      <c r="G2" s="261"/>
      <c r="H2" s="15"/>
      <c r="I2" s="15"/>
      <c r="J2" s="15"/>
      <c r="K2" s="15"/>
    </row>
    <row r="3" spans="1:11" x14ac:dyDescent="0.25">
      <c r="A3" s="15"/>
      <c r="B3" s="253" t="s">
        <v>896</v>
      </c>
      <c r="C3" s="253"/>
      <c r="D3" s="253"/>
      <c r="E3" s="10"/>
      <c r="F3" s="10"/>
      <c r="G3" s="17"/>
      <c r="H3" s="15"/>
      <c r="I3" s="15"/>
      <c r="J3" s="15"/>
      <c r="K3" s="15"/>
    </row>
    <row r="4" spans="1:11" x14ac:dyDescent="0.25">
      <c r="A4" s="18"/>
      <c r="B4" s="262" t="s">
        <v>587</v>
      </c>
      <c r="C4" s="262"/>
      <c r="D4" s="262"/>
      <c r="E4" s="19"/>
      <c r="F4" s="19"/>
      <c r="G4" s="11"/>
      <c r="H4" s="20"/>
      <c r="I4" s="20"/>
      <c r="J4" s="20"/>
      <c r="K4" s="20"/>
    </row>
    <row r="5" spans="1:11" x14ac:dyDescent="0.25">
      <c r="A5" s="281" t="s">
        <v>61</v>
      </c>
      <c r="B5" s="282" t="s">
        <v>62</v>
      </c>
      <c r="C5" s="282"/>
      <c r="D5" s="282"/>
      <c r="E5" s="282"/>
      <c r="F5" s="282"/>
      <c r="G5" s="282"/>
      <c r="H5" s="282"/>
      <c r="I5" s="282"/>
      <c r="J5" s="282"/>
      <c r="K5" s="282"/>
    </row>
    <row r="6" spans="1:11" ht="135" x14ac:dyDescent="0.25">
      <c r="A6" s="283"/>
      <c r="B6" s="285" t="s">
        <v>63</v>
      </c>
      <c r="C6" s="285" t="s">
        <v>64</v>
      </c>
      <c r="D6" s="285" t="s">
        <v>65</v>
      </c>
      <c r="E6" s="285" t="s">
        <v>66</v>
      </c>
      <c r="F6" s="285" t="s">
        <v>67</v>
      </c>
      <c r="G6" s="285" t="s">
        <v>68</v>
      </c>
      <c r="H6" s="285" t="s">
        <v>69</v>
      </c>
      <c r="I6" s="285" t="s">
        <v>70</v>
      </c>
      <c r="J6" s="285" t="s">
        <v>71</v>
      </c>
      <c r="K6" s="285" t="s">
        <v>72</v>
      </c>
    </row>
    <row r="7" spans="1:11" ht="38.25" x14ac:dyDescent="0.25">
      <c r="A7" s="198" t="s">
        <v>627</v>
      </c>
      <c r="B7" s="191">
        <v>959</v>
      </c>
      <c r="C7" s="191">
        <v>4326</v>
      </c>
      <c r="D7" s="192">
        <v>1967</v>
      </c>
      <c r="E7" s="192">
        <v>2</v>
      </c>
      <c r="F7" s="192">
        <v>3</v>
      </c>
      <c r="G7" s="192">
        <v>1</v>
      </c>
      <c r="H7" s="192">
        <v>1</v>
      </c>
      <c r="I7" s="190" t="s">
        <v>628</v>
      </c>
      <c r="J7" s="190" t="s">
        <v>629</v>
      </c>
      <c r="K7" s="192">
        <v>1</v>
      </c>
    </row>
    <row r="8" spans="1:11" ht="38.25" x14ac:dyDescent="0.25">
      <c r="A8" s="198" t="s">
        <v>630</v>
      </c>
      <c r="B8" s="191">
        <v>388.21</v>
      </c>
      <c r="C8" s="191">
        <v>1032.6400000000001</v>
      </c>
      <c r="D8" s="192">
        <v>1967</v>
      </c>
      <c r="E8" s="192">
        <v>2</v>
      </c>
      <c r="F8" s="192">
        <v>3</v>
      </c>
      <c r="G8" s="192">
        <v>1</v>
      </c>
      <c r="H8" s="192">
        <v>1</v>
      </c>
      <c r="I8" s="190" t="s">
        <v>628</v>
      </c>
      <c r="J8" s="190" t="s">
        <v>629</v>
      </c>
      <c r="K8" s="192">
        <v>1</v>
      </c>
    </row>
    <row r="9" spans="1:11" ht="38.25" x14ac:dyDescent="0.25">
      <c r="A9" s="198" t="s">
        <v>631</v>
      </c>
      <c r="B9" s="191">
        <v>168.3</v>
      </c>
      <c r="C9" s="191">
        <v>1066</v>
      </c>
      <c r="D9" s="192">
        <v>1987</v>
      </c>
      <c r="E9" s="192">
        <v>2</v>
      </c>
      <c r="F9" s="192">
        <v>3</v>
      </c>
      <c r="G9" s="192">
        <v>2</v>
      </c>
      <c r="H9" s="192">
        <v>1</v>
      </c>
      <c r="I9" s="190" t="s">
        <v>628</v>
      </c>
      <c r="J9" s="190" t="s">
        <v>629</v>
      </c>
      <c r="K9" s="192">
        <v>1</v>
      </c>
    </row>
  </sheetData>
  <mergeCells count="6">
    <mergeCell ref="B1:G1"/>
    <mergeCell ref="B2:G2"/>
    <mergeCell ref="B3:D3"/>
    <mergeCell ref="B4:D4"/>
    <mergeCell ref="A5:A6"/>
    <mergeCell ref="B5:K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F0"/>
  </sheetPr>
  <dimension ref="A1:Q13"/>
  <sheetViews>
    <sheetView zoomScale="80" zoomScaleNormal="80" workbookViewId="0">
      <selection activeCell="A14" sqref="A14:XFD26"/>
    </sheetView>
  </sheetViews>
  <sheetFormatPr defaultRowHeight="15" x14ac:dyDescent="0.25"/>
  <cols>
    <col min="1" max="1" width="19.42578125" customWidth="1"/>
    <col min="2" max="2" width="11" customWidth="1"/>
    <col min="3" max="3" width="15.42578125" customWidth="1"/>
    <col min="6" max="6" width="21.140625" customWidth="1"/>
    <col min="7" max="7" width="13.7109375" customWidth="1"/>
    <col min="8" max="8" width="17.5703125" customWidth="1"/>
    <col min="9" max="9" width="13.42578125" customWidth="1"/>
    <col min="10" max="10" width="18.140625" customWidth="1"/>
    <col min="11" max="13" width="15.28515625" customWidth="1"/>
    <col min="14" max="14" width="15.5703125" customWidth="1"/>
    <col min="15" max="15" width="13.7109375" customWidth="1"/>
    <col min="16" max="16" width="16.85546875" customWidth="1"/>
    <col min="17" max="17" width="16.28515625" customWidth="1"/>
  </cols>
  <sheetData>
    <row r="1" spans="1:17" ht="18" x14ac:dyDescent="0.25">
      <c r="A1" s="14"/>
      <c r="B1" s="261" t="s">
        <v>59</v>
      </c>
      <c r="C1" s="261"/>
      <c r="D1" s="261"/>
      <c r="E1" s="261"/>
      <c r="F1" s="261"/>
      <c r="G1" s="261"/>
      <c r="H1" s="261"/>
      <c r="I1" s="261"/>
      <c r="J1" s="261"/>
      <c r="K1" s="9"/>
      <c r="L1" s="51"/>
      <c r="M1" s="51"/>
      <c r="N1" s="15"/>
      <c r="O1" s="15"/>
      <c r="P1" s="15"/>
      <c r="Q1" s="15"/>
    </row>
    <row r="2" spans="1:17" ht="18" x14ac:dyDescent="0.25">
      <c r="A2" s="16"/>
      <c r="B2" s="263" t="s">
        <v>268</v>
      </c>
      <c r="C2" s="261"/>
      <c r="D2" s="261"/>
      <c r="E2" s="261"/>
      <c r="F2" s="261"/>
      <c r="G2" s="261"/>
      <c r="H2" s="261"/>
      <c r="I2" s="261"/>
      <c r="J2" s="261"/>
      <c r="K2" s="9"/>
      <c r="L2" s="51"/>
      <c r="M2" s="51"/>
      <c r="N2" s="15"/>
      <c r="O2" s="15"/>
      <c r="P2" s="15"/>
      <c r="Q2" s="15"/>
    </row>
    <row r="3" spans="1:17" x14ac:dyDescent="0.25">
      <c r="A3" s="16"/>
      <c r="B3" s="253" t="s">
        <v>896</v>
      </c>
      <c r="C3" s="253"/>
      <c r="D3" s="253"/>
      <c r="E3" s="49"/>
      <c r="F3" s="49"/>
      <c r="G3" s="10"/>
      <c r="H3" s="10"/>
      <c r="I3" s="49"/>
      <c r="J3" s="17"/>
      <c r="K3" s="17"/>
      <c r="L3" s="17"/>
      <c r="M3" s="17"/>
      <c r="N3" s="15"/>
      <c r="O3" s="15"/>
      <c r="P3" s="15"/>
      <c r="Q3" s="15"/>
    </row>
    <row r="4" spans="1:17" x14ac:dyDescent="0.25">
      <c r="A4" s="18"/>
      <c r="B4" s="262" t="s">
        <v>587</v>
      </c>
      <c r="C4" s="262"/>
      <c r="D4" s="262"/>
      <c r="E4" s="50"/>
      <c r="F4" s="50"/>
      <c r="G4" s="19"/>
      <c r="H4" s="19"/>
      <c r="I4" s="50"/>
      <c r="J4" s="11"/>
      <c r="K4" s="11"/>
      <c r="L4" s="11"/>
      <c r="M4" s="11"/>
      <c r="N4" s="20"/>
      <c r="O4" s="20"/>
      <c r="P4" s="20"/>
      <c r="Q4" s="20"/>
    </row>
    <row r="5" spans="1:17" x14ac:dyDescent="0.25">
      <c r="A5" s="281" t="s">
        <v>61</v>
      </c>
      <c r="B5" s="282" t="s">
        <v>62</v>
      </c>
      <c r="C5" s="282"/>
      <c r="D5" s="282"/>
      <c r="E5" s="282"/>
      <c r="F5" s="282"/>
      <c r="G5" s="282"/>
      <c r="H5" s="282"/>
      <c r="I5" s="282"/>
      <c r="J5" s="282"/>
      <c r="K5" s="282"/>
      <c r="L5" s="282"/>
      <c r="M5" s="282"/>
      <c r="N5" s="282"/>
      <c r="O5" s="282"/>
      <c r="P5" s="282"/>
      <c r="Q5" s="282"/>
    </row>
    <row r="6" spans="1:17" ht="120.75" customHeight="1" x14ac:dyDescent="0.25">
      <c r="A6" s="283"/>
      <c r="B6" s="284" t="s">
        <v>63</v>
      </c>
      <c r="C6" s="284" t="s">
        <v>64</v>
      </c>
      <c r="D6" s="284" t="s">
        <v>65</v>
      </c>
      <c r="E6" s="284" t="s">
        <v>493</v>
      </c>
      <c r="F6" s="284" t="s">
        <v>546</v>
      </c>
      <c r="G6" s="284" t="s">
        <v>66</v>
      </c>
      <c r="H6" s="284" t="s">
        <v>67</v>
      </c>
      <c r="I6" s="284" t="s">
        <v>494</v>
      </c>
      <c r="J6" s="284" t="s">
        <v>553</v>
      </c>
      <c r="K6" s="285" t="s">
        <v>69</v>
      </c>
      <c r="L6" s="284" t="s">
        <v>551</v>
      </c>
      <c r="M6" s="284" t="s">
        <v>552</v>
      </c>
      <c r="N6" s="284" t="s">
        <v>70</v>
      </c>
      <c r="O6" s="284" t="s">
        <v>71</v>
      </c>
      <c r="P6" s="284" t="s">
        <v>554</v>
      </c>
      <c r="Q6" s="284" t="s">
        <v>72</v>
      </c>
    </row>
    <row r="7" spans="1:17" ht="59.25" customHeight="1" x14ac:dyDescent="0.25">
      <c r="A7" s="186" t="s">
        <v>721</v>
      </c>
      <c r="B7" s="191">
        <v>1524.1</v>
      </c>
      <c r="C7" s="191">
        <v>5818</v>
      </c>
      <c r="D7" s="199">
        <v>1984</v>
      </c>
      <c r="E7" s="199">
        <v>29</v>
      </c>
      <c r="F7" s="200" t="s">
        <v>722</v>
      </c>
      <c r="G7" s="199">
        <v>1</v>
      </c>
      <c r="H7" s="199">
        <v>3</v>
      </c>
      <c r="I7" s="199"/>
      <c r="J7" s="199">
        <v>1</v>
      </c>
      <c r="K7" s="199">
        <v>1</v>
      </c>
      <c r="L7" s="199">
        <v>1</v>
      </c>
      <c r="M7" s="199">
        <v>1</v>
      </c>
      <c r="N7" s="190" t="s">
        <v>723</v>
      </c>
      <c r="O7" s="190" t="s">
        <v>724</v>
      </c>
      <c r="P7" s="190" t="s">
        <v>725</v>
      </c>
      <c r="Q7" s="199">
        <v>1</v>
      </c>
    </row>
    <row r="8" spans="1:17" ht="59.25" customHeight="1" x14ac:dyDescent="0.25">
      <c r="A8" s="186" t="s">
        <v>726</v>
      </c>
      <c r="B8" s="191">
        <v>7500</v>
      </c>
      <c r="C8" s="191">
        <v>30850</v>
      </c>
      <c r="D8" s="199">
        <v>1977</v>
      </c>
      <c r="E8" s="199">
        <v>24</v>
      </c>
      <c r="F8" s="200" t="s">
        <v>666</v>
      </c>
      <c r="G8" s="199">
        <v>1</v>
      </c>
      <c r="H8" s="199">
        <v>3</v>
      </c>
      <c r="I8" s="199">
        <v>2005</v>
      </c>
      <c r="J8" s="199">
        <v>1</v>
      </c>
      <c r="K8" s="199">
        <v>1</v>
      </c>
      <c r="L8" s="199">
        <v>1</v>
      </c>
      <c r="M8" s="199">
        <v>1</v>
      </c>
      <c r="N8" s="190" t="s">
        <v>675</v>
      </c>
      <c r="O8" s="190" t="s">
        <v>669</v>
      </c>
      <c r="P8" s="190" t="s">
        <v>617</v>
      </c>
      <c r="Q8" s="199">
        <v>1</v>
      </c>
    </row>
    <row r="9" spans="1:17" ht="59.25" customHeight="1" x14ac:dyDescent="0.25">
      <c r="A9" s="186" t="s">
        <v>727</v>
      </c>
      <c r="B9" s="191">
        <v>254</v>
      </c>
      <c r="C9" s="191"/>
      <c r="D9" s="199"/>
      <c r="E9" s="199"/>
      <c r="F9" s="200" t="s">
        <v>728</v>
      </c>
      <c r="G9" s="199">
        <v>1</v>
      </c>
      <c r="H9" s="199">
        <v>3</v>
      </c>
      <c r="I9" s="199">
        <v>2017</v>
      </c>
      <c r="J9" s="199">
        <v>1</v>
      </c>
      <c r="K9" s="199">
        <v>1</v>
      </c>
      <c r="L9" s="199">
        <v>1</v>
      </c>
      <c r="M9" s="199">
        <v>1</v>
      </c>
      <c r="N9" s="190" t="s">
        <v>675</v>
      </c>
      <c r="O9" s="190" t="s">
        <v>669</v>
      </c>
      <c r="P9" s="190" t="s">
        <v>729</v>
      </c>
      <c r="Q9" s="199">
        <v>1</v>
      </c>
    </row>
    <row r="10" spans="1:17" ht="59.25" customHeight="1" x14ac:dyDescent="0.25">
      <c r="A10" s="186" t="s">
        <v>730</v>
      </c>
      <c r="B10" s="191">
        <v>630</v>
      </c>
      <c r="C10" s="191"/>
      <c r="D10" s="199"/>
      <c r="E10" s="199"/>
      <c r="F10" s="200" t="s">
        <v>731</v>
      </c>
      <c r="G10" s="199">
        <v>1</v>
      </c>
      <c r="H10" s="199">
        <v>3</v>
      </c>
      <c r="I10" s="199">
        <v>2001</v>
      </c>
      <c r="J10" s="199">
        <v>1</v>
      </c>
      <c r="K10" s="199">
        <v>1</v>
      </c>
      <c r="L10" s="199">
        <v>1</v>
      </c>
      <c r="M10" s="199">
        <v>1</v>
      </c>
      <c r="N10" s="190" t="s">
        <v>732</v>
      </c>
      <c r="O10" s="190" t="s">
        <v>669</v>
      </c>
      <c r="P10" s="190" t="s">
        <v>729</v>
      </c>
      <c r="Q10" s="199">
        <v>1</v>
      </c>
    </row>
    <row r="11" spans="1:17" ht="59.25" customHeight="1" x14ac:dyDescent="0.25">
      <c r="A11" s="186" t="s">
        <v>733</v>
      </c>
      <c r="B11" s="191">
        <v>6248</v>
      </c>
      <c r="C11" s="191">
        <v>34300</v>
      </c>
      <c r="D11" s="201">
        <v>2008</v>
      </c>
      <c r="E11" s="201">
        <v>100</v>
      </c>
      <c r="F11" s="202" t="s">
        <v>734</v>
      </c>
      <c r="G11" s="201">
        <v>1</v>
      </c>
      <c r="H11" s="201">
        <v>3</v>
      </c>
      <c r="I11" s="191"/>
      <c r="J11" s="201">
        <v>1</v>
      </c>
      <c r="K11" s="201">
        <v>1</v>
      </c>
      <c r="L11" s="201">
        <v>1</v>
      </c>
      <c r="M11" s="201">
        <v>1</v>
      </c>
      <c r="N11" s="202" t="s">
        <v>735</v>
      </c>
      <c r="O11" s="202" t="s">
        <v>736</v>
      </c>
      <c r="P11" s="191" t="s">
        <v>737</v>
      </c>
      <c r="Q11" s="201">
        <v>1</v>
      </c>
    </row>
    <row r="12" spans="1:17" ht="59.25" customHeight="1" x14ac:dyDescent="0.25">
      <c r="A12" s="186" t="s">
        <v>738</v>
      </c>
      <c r="B12" s="191">
        <v>1004.7</v>
      </c>
      <c r="C12" s="191">
        <v>4929</v>
      </c>
      <c r="D12" s="201">
        <v>1957</v>
      </c>
      <c r="E12" s="201">
        <v>27</v>
      </c>
      <c r="F12" s="188" t="s">
        <v>739</v>
      </c>
      <c r="G12" s="201">
        <v>2</v>
      </c>
      <c r="H12" s="201">
        <v>3</v>
      </c>
      <c r="I12" s="201">
        <v>2012</v>
      </c>
      <c r="J12" s="201">
        <v>1</v>
      </c>
      <c r="K12" s="201">
        <v>1</v>
      </c>
      <c r="L12" s="201">
        <v>1</v>
      </c>
      <c r="M12" s="201">
        <v>1</v>
      </c>
      <c r="N12" s="202" t="s">
        <v>675</v>
      </c>
      <c r="O12" s="191" t="s">
        <v>740</v>
      </c>
      <c r="P12" s="191" t="s">
        <v>617</v>
      </c>
      <c r="Q12" s="201">
        <v>1</v>
      </c>
    </row>
    <row r="13" spans="1:17" ht="59.25" customHeight="1" x14ac:dyDescent="0.25">
      <c r="A13" s="186" t="s">
        <v>741</v>
      </c>
      <c r="B13" s="191">
        <v>845.9</v>
      </c>
      <c r="C13" s="191">
        <v>3531</v>
      </c>
      <c r="D13" s="201">
        <v>2000</v>
      </c>
      <c r="E13" s="201">
        <v>9</v>
      </c>
      <c r="F13" s="188" t="s">
        <v>742</v>
      </c>
      <c r="G13" s="201">
        <v>2</v>
      </c>
      <c r="H13" s="201">
        <v>3</v>
      </c>
      <c r="I13" s="201">
        <v>2017</v>
      </c>
      <c r="J13" s="201">
        <v>1</v>
      </c>
      <c r="K13" s="201">
        <v>1</v>
      </c>
      <c r="L13" s="201">
        <v>1</v>
      </c>
      <c r="M13" s="201">
        <v>1</v>
      </c>
      <c r="N13" s="202" t="s">
        <v>675</v>
      </c>
      <c r="O13" s="191" t="s">
        <v>740</v>
      </c>
      <c r="P13" s="191" t="s">
        <v>617</v>
      </c>
      <c r="Q13" s="201">
        <v>1</v>
      </c>
    </row>
  </sheetData>
  <mergeCells count="6">
    <mergeCell ref="B1:J1"/>
    <mergeCell ref="B2:J2"/>
    <mergeCell ref="B3:D3"/>
    <mergeCell ref="B4:D4"/>
    <mergeCell ref="A5:A6"/>
    <mergeCell ref="B5:Q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F0"/>
  </sheetPr>
  <dimension ref="A1:T14"/>
  <sheetViews>
    <sheetView zoomScale="80" zoomScaleNormal="80" workbookViewId="0">
      <selection activeCell="A11" sqref="A11:XFD11"/>
    </sheetView>
  </sheetViews>
  <sheetFormatPr defaultRowHeight="15" x14ac:dyDescent="0.25"/>
  <cols>
    <col min="1" max="1" width="23.140625" customWidth="1"/>
    <col min="2" max="2" width="18.28515625" customWidth="1"/>
    <col min="3" max="4" width="14.7109375" customWidth="1"/>
    <col min="5" max="5" width="15.5703125" customWidth="1"/>
    <col min="6" max="6" width="14.7109375" customWidth="1"/>
    <col min="9" max="9" width="20.5703125" customWidth="1"/>
    <col min="10" max="10" width="12.28515625" customWidth="1"/>
    <col min="11" max="11" width="17.28515625" customWidth="1"/>
    <col min="12" max="12" width="15.28515625" customWidth="1"/>
    <col min="13" max="13" width="23.28515625" customWidth="1"/>
    <col min="14" max="20" width="15.28515625" customWidth="1"/>
  </cols>
  <sheetData>
    <row r="1" spans="1:20" ht="18" x14ac:dyDescent="0.25">
      <c r="A1" s="14"/>
      <c r="B1" s="14"/>
      <c r="C1" s="261" t="s">
        <v>59</v>
      </c>
      <c r="D1" s="261"/>
      <c r="E1" s="261"/>
      <c r="F1" s="261"/>
      <c r="G1" s="261"/>
      <c r="H1" s="261"/>
      <c r="I1" s="261"/>
      <c r="J1" s="261"/>
      <c r="K1" s="261"/>
      <c r="L1" s="261"/>
      <c r="M1" s="261"/>
      <c r="N1" s="9"/>
      <c r="O1" s="51"/>
      <c r="P1" s="51"/>
      <c r="Q1" s="15"/>
      <c r="R1" s="15"/>
      <c r="S1" s="15"/>
      <c r="T1" s="15"/>
    </row>
    <row r="2" spans="1:20" ht="18" x14ac:dyDescent="0.25">
      <c r="A2" s="16"/>
      <c r="B2" s="16"/>
      <c r="C2" s="263" t="s">
        <v>269</v>
      </c>
      <c r="D2" s="263"/>
      <c r="E2" s="263"/>
      <c r="F2" s="261"/>
      <c r="G2" s="261"/>
      <c r="H2" s="261"/>
      <c r="I2" s="261"/>
      <c r="J2" s="261"/>
      <c r="K2" s="261"/>
      <c r="L2" s="261"/>
      <c r="M2" s="261"/>
      <c r="N2" s="9"/>
      <c r="O2" s="51"/>
      <c r="P2" s="51"/>
      <c r="Q2" s="15"/>
      <c r="R2" s="15"/>
      <c r="S2" s="15"/>
      <c r="T2" s="15"/>
    </row>
    <row r="3" spans="1:20" x14ac:dyDescent="0.25">
      <c r="A3" s="16"/>
      <c r="B3" s="16"/>
      <c r="C3" s="253" t="s">
        <v>896</v>
      </c>
      <c r="D3" s="264"/>
      <c r="E3" s="264"/>
      <c r="F3" s="253"/>
      <c r="G3" s="253"/>
      <c r="H3" s="49"/>
      <c r="I3" s="49"/>
      <c r="J3" s="10"/>
      <c r="K3" s="10"/>
      <c r="L3" s="49"/>
      <c r="M3" s="17"/>
      <c r="N3" s="17"/>
      <c r="O3" s="17"/>
      <c r="P3" s="17"/>
      <c r="Q3" s="15"/>
      <c r="R3" s="15"/>
      <c r="S3" s="15"/>
      <c r="T3" s="15"/>
    </row>
    <row r="4" spans="1:20" x14ac:dyDescent="0.25">
      <c r="A4" s="18"/>
      <c r="B4" s="18"/>
      <c r="C4" s="262" t="s">
        <v>587</v>
      </c>
      <c r="D4" s="262"/>
      <c r="E4" s="262"/>
      <c r="F4" s="262"/>
      <c r="G4" s="262"/>
      <c r="H4" s="50"/>
      <c r="I4" s="50"/>
      <c r="J4" s="19"/>
      <c r="K4" s="19"/>
      <c r="L4" s="50"/>
      <c r="M4" s="11"/>
      <c r="N4" s="11"/>
      <c r="O4" s="11"/>
      <c r="P4" s="11"/>
      <c r="Q4" s="20"/>
      <c r="R4" s="20"/>
      <c r="S4" s="20"/>
      <c r="T4" s="20"/>
    </row>
    <row r="5" spans="1:20" x14ac:dyDescent="0.25">
      <c r="A5" s="281" t="s">
        <v>61</v>
      </c>
      <c r="B5" s="286" t="s">
        <v>62</v>
      </c>
      <c r="C5" s="287"/>
      <c r="D5" s="287"/>
      <c r="E5" s="287"/>
      <c r="F5" s="287"/>
      <c r="G5" s="287"/>
      <c r="H5" s="287"/>
      <c r="I5" s="287"/>
      <c r="J5" s="287"/>
      <c r="K5" s="287"/>
      <c r="L5" s="287"/>
      <c r="M5" s="287"/>
      <c r="N5" s="287"/>
      <c r="O5" s="287"/>
      <c r="P5" s="287"/>
      <c r="Q5" s="287"/>
      <c r="R5" s="287"/>
      <c r="S5" s="287"/>
      <c r="T5" s="288"/>
    </row>
    <row r="6" spans="1:20" ht="146.25" x14ac:dyDescent="0.25">
      <c r="A6" s="283"/>
      <c r="B6" s="289" t="s">
        <v>523</v>
      </c>
      <c r="C6" s="284" t="s">
        <v>63</v>
      </c>
      <c r="D6" s="284" t="s">
        <v>525</v>
      </c>
      <c r="E6" s="284" t="s">
        <v>524</v>
      </c>
      <c r="F6" s="284" t="s">
        <v>64</v>
      </c>
      <c r="G6" s="284" t="s">
        <v>65</v>
      </c>
      <c r="H6" s="284" t="s">
        <v>493</v>
      </c>
      <c r="I6" s="284" t="s">
        <v>546</v>
      </c>
      <c r="J6" s="284" t="s">
        <v>66</v>
      </c>
      <c r="K6" s="284" t="s">
        <v>67</v>
      </c>
      <c r="L6" s="284" t="s">
        <v>494</v>
      </c>
      <c r="M6" s="284" t="s">
        <v>553</v>
      </c>
      <c r="N6" s="285" t="s">
        <v>69</v>
      </c>
      <c r="O6" s="284" t="s">
        <v>551</v>
      </c>
      <c r="P6" s="284" t="s">
        <v>552</v>
      </c>
      <c r="Q6" s="284" t="s">
        <v>70</v>
      </c>
      <c r="R6" s="284" t="s">
        <v>71</v>
      </c>
      <c r="S6" s="284" t="s">
        <v>554</v>
      </c>
      <c r="T6" s="284" t="s">
        <v>72</v>
      </c>
    </row>
    <row r="7" spans="1:20" ht="69.75" customHeight="1" x14ac:dyDescent="0.25">
      <c r="A7" s="186" t="s">
        <v>640</v>
      </c>
      <c r="B7" s="189" t="s">
        <v>641</v>
      </c>
      <c r="C7" s="191">
        <v>559.58000000000004</v>
      </c>
      <c r="D7" s="191">
        <v>90</v>
      </c>
      <c r="E7" s="191">
        <v>70</v>
      </c>
      <c r="F7" s="191">
        <v>3276</v>
      </c>
      <c r="G7" s="199">
        <v>2015</v>
      </c>
      <c r="H7" s="199">
        <v>10</v>
      </c>
      <c r="I7" s="199" t="s">
        <v>642</v>
      </c>
      <c r="J7" s="199">
        <v>1</v>
      </c>
      <c r="K7" s="199">
        <v>3</v>
      </c>
      <c r="L7" s="199"/>
      <c r="M7" s="199">
        <v>1</v>
      </c>
      <c r="N7" s="199">
        <v>1</v>
      </c>
      <c r="O7" s="199">
        <v>1</v>
      </c>
      <c r="P7" s="199">
        <v>1</v>
      </c>
      <c r="Q7" s="190" t="s">
        <v>643</v>
      </c>
      <c r="R7" s="190" t="s">
        <v>644</v>
      </c>
      <c r="S7" s="190" t="s">
        <v>617</v>
      </c>
      <c r="T7" s="199" t="s">
        <v>645</v>
      </c>
    </row>
    <row r="8" spans="1:20" ht="32.25" customHeight="1" x14ac:dyDescent="0.25">
      <c r="A8" s="186" t="str">
        <f>[1]Sheet1!M4</f>
        <v>Спортивная площадка "Факел"</v>
      </c>
      <c r="B8" s="189" t="s">
        <v>646</v>
      </c>
      <c r="C8" s="191">
        <f>[1]Sheet1!N4</f>
        <v>1763</v>
      </c>
      <c r="D8" s="191">
        <v>75</v>
      </c>
      <c r="E8" s="191">
        <v>73.5</v>
      </c>
      <c r="F8" s="191"/>
      <c r="G8" s="199">
        <f>[1]Sheet1!P4</f>
        <v>1989</v>
      </c>
      <c r="H8" s="199">
        <f>[1]Sheet1!Q4</f>
        <v>43.8</v>
      </c>
      <c r="I8" s="199">
        <v>1</v>
      </c>
      <c r="J8" s="199">
        <v>1</v>
      </c>
      <c r="K8" s="199">
        <v>3</v>
      </c>
      <c r="L8" s="199"/>
      <c r="M8" s="199"/>
      <c r="N8" s="199">
        <v>2</v>
      </c>
      <c r="O8" s="199">
        <v>2</v>
      </c>
      <c r="P8" s="199">
        <v>2</v>
      </c>
      <c r="Q8" s="190" t="s">
        <v>647</v>
      </c>
      <c r="R8" s="190" t="s">
        <v>647</v>
      </c>
      <c r="S8" s="190" t="s">
        <v>647</v>
      </c>
      <c r="T8" s="199">
        <v>1</v>
      </c>
    </row>
    <row r="9" spans="1:20" ht="32.25" customHeight="1" x14ac:dyDescent="0.25">
      <c r="A9" s="186" t="str">
        <f>[1]Sheet1!M5</f>
        <v>Спортивная площадка "Вымпел"</v>
      </c>
      <c r="B9" s="189" t="s">
        <v>646</v>
      </c>
      <c r="C9" s="191">
        <f>[1]Sheet1!N5</f>
        <v>487</v>
      </c>
      <c r="D9" s="191">
        <v>52.5</v>
      </c>
      <c r="E9" s="191">
        <v>51.45</v>
      </c>
      <c r="F9" s="191"/>
      <c r="G9" s="199">
        <f>[1]Sheet1!P5</f>
        <v>1986</v>
      </c>
      <c r="H9" s="199">
        <f>[1]Sheet1!Q5</f>
        <v>52.9</v>
      </c>
      <c r="I9" s="199">
        <v>1</v>
      </c>
      <c r="J9" s="199">
        <v>1</v>
      </c>
      <c r="K9" s="199">
        <v>3</v>
      </c>
      <c r="L9" s="199"/>
      <c r="M9" s="199"/>
      <c r="N9" s="199">
        <v>2</v>
      </c>
      <c r="O9" s="199">
        <v>2</v>
      </c>
      <c r="P9" s="199">
        <v>2</v>
      </c>
      <c r="Q9" s="190" t="s">
        <v>647</v>
      </c>
      <c r="R9" s="190" t="s">
        <v>647</v>
      </c>
      <c r="S9" s="190" t="s">
        <v>647</v>
      </c>
      <c r="T9" s="199">
        <v>1</v>
      </c>
    </row>
    <row r="10" spans="1:20" ht="32.25" customHeight="1" x14ac:dyDescent="0.25">
      <c r="A10" s="186" t="str">
        <f>[1]Sheet1!M6</f>
        <v>Хоккейный корт "Верхний поселок"</v>
      </c>
      <c r="B10" s="189" t="s">
        <v>646</v>
      </c>
      <c r="C10" s="191">
        <v>1646</v>
      </c>
      <c r="D10" s="191">
        <v>75</v>
      </c>
      <c r="E10" s="191">
        <v>73.5</v>
      </c>
      <c r="F10" s="191"/>
      <c r="G10" s="199">
        <f>[1]Sheet1!P6</f>
        <v>2010</v>
      </c>
      <c r="H10" s="199">
        <f>[1]Sheet1!Q6</f>
        <v>22.11</v>
      </c>
      <c r="I10" s="199">
        <v>1</v>
      </c>
      <c r="J10" s="199">
        <v>1</v>
      </c>
      <c r="K10" s="199">
        <v>3</v>
      </c>
      <c r="L10" s="199"/>
      <c r="M10" s="199"/>
      <c r="N10" s="199">
        <v>2</v>
      </c>
      <c r="O10" s="199">
        <v>2</v>
      </c>
      <c r="P10" s="199">
        <v>2</v>
      </c>
      <c r="Q10" s="190" t="s">
        <v>647</v>
      </c>
      <c r="R10" s="190" t="s">
        <v>647</v>
      </c>
      <c r="S10" s="190" t="s">
        <v>647</v>
      </c>
      <c r="T10" s="199">
        <v>1</v>
      </c>
    </row>
    <row r="11" spans="1:20" ht="32.25" customHeight="1" x14ac:dyDescent="0.25">
      <c r="A11" s="186" t="str">
        <f>[1]Sheet1!M7</f>
        <v>Спортивная площадка Ленина 11</v>
      </c>
      <c r="B11" s="189" t="s">
        <v>646</v>
      </c>
      <c r="C11" s="191">
        <v>1157</v>
      </c>
      <c r="D11" s="191">
        <v>37.5</v>
      </c>
      <c r="E11" s="191">
        <v>36.75</v>
      </c>
      <c r="F11" s="191"/>
      <c r="G11" s="199">
        <f>[1]Sheet1!P7</f>
        <v>2013</v>
      </c>
      <c r="H11" s="199">
        <f>[1]Sheet1!Q7</f>
        <v>20</v>
      </c>
      <c r="I11" s="199">
        <v>1</v>
      </c>
      <c r="J11" s="199">
        <v>1</v>
      </c>
      <c r="K11" s="199">
        <v>3</v>
      </c>
      <c r="L11" s="199"/>
      <c r="M11" s="199"/>
      <c r="N11" s="199">
        <v>2</v>
      </c>
      <c r="O11" s="199">
        <v>2</v>
      </c>
      <c r="P11" s="199">
        <v>2</v>
      </c>
      <c r="Q11" s="190" t="s">
        <v>647</v>
      </c>
      <c r="R11" s="190" t="s">
        <v>647</v>
      </c>
      <c r="S11" s="190" t="s">
        <v>647</v>
      </c>
      <c r="T11" s="199">
        <v>1</v>
      </c>
    </row>
    <row r="12" spans="1:20" ht="32.25" customHeight="1" x14ac:dyDescent="0.25">
      <c r="A12" s="186" t="str">
        <f>[1]Sheet1!M8</f>
        <v>Спортивная площадка "Тихонова 15"</v>
      </c>
      <c r="B12" s="189" t="s">
        <v>646</v>
      </c>
      <c r="C12" s="191">
        <v>926</v>
      </c>
      <c r="D12" s="191">
        <v>52.5</v>
      </c>
      <c r="E12" s="191">
        <v>51.45</v>
      </c>
      <c r="F12" s="191"/>
      <c r="G12" s="199">
        <f>[1]Sheet1!P8</f>
        <v>2015</v>
      </c>
      <c r="H12" s="199">
        <f>[1]Sheet1!Q8</f>
        <v>30</v>
      </c>
      <c r="I12" s="199">
        <v>1</v>
      </c>
      <c r="J12" s="199">
        <v>1</v>
      </c>
      <c r="K12" s="199">
        <v>3</v>
      </c>
      <c r="L12" s="199"/>
      <c r="M12" s="199"/>
      <c r="N12" s="199">
        <v>2</v>
      </c>
      <c r="O12" s="199">
        <v>2</v>
      </c>
      <c r="P12" s="199">
        <v>2</v>
      </c>
      <c r="Q12" s="190" t="s">
        <v>647</v>
      </c>
      <c r="R12" s="190" t="s">
        <v>647</v>
      </c>
      <c r="S12" s="190" t="s">
        <v>647</v>
      </c>
      <c r="T12" s="199">
        <v>1</v>
      </c>
    </row>
    <row r="13" spans="1:20" ht="32.25" customHeight="1" x14ac:dyDescent="0.25">
      <c r="A13" s="186" t="str">
        <f>[1]Sheet1!M9</f>
        <v>Спортивная площадка Мкр." Заречный"</v>
      </c>
      <c r="B13" s="189" t="s">
        <v>646</v>
      </c>
      <c r="C13" s="191">
        <f>[1]Sheet1!N9</f>
        <v>480</v>
      </c>
      <c r="D13" s="191">
        <v>37.5</v>
      </c>
      <c r="E13" s="191">
        <v>36.75</v>
      </c>
      <c r="F13" s="191"/>
      <c r="G13" s="199">
        <f>[1]Sheet1!P9</f>
        <v>2017</v>
      </c>
      <c r="H13" s="199">
        <f>[1]Sheet1!Q9</f>
        <v>10</v>
      </c>
      <c r="I13" s="199">
        <v>1</v>
      </c>
      <c r="J13" s="199">
        <v>1</v>
      </c>
      <c r="K13" s="199">
        <v>3</v>
      </c>
      <c r="L13" s="199"/>
      <c r="M13" s="199"/>
      <c r="N13" s="199">
        <v>2</v>
      </c>
      <c r="O13" s="199">
        <v>2</v>
      </c>
      <c r="P13" s="199">
        <v>2</v>
      </c>
      <c r="Q13" s="190" t="s">
        <v>647</v>
      </c>
      <c r="R13" s="190" t="s">
        <v>647</v>
      </c>
      <c r="S13" s="190" t="s">
        <v>647</v>
      </c>
      <c r="T13" s="199">
        <v>1</v>
      </c>
    </row>
    <row r="14" spans="1:20" ht="32.25" customHeight="1" x14ac:dyDescent="0.25">
      <c r="A14" s="186" t="str">
        <f>[1]Sheet1!M10</f>
        <v>Спортивная площадка ул.Аммосова</v>
      </c>
      <c r="B14" s="189" t="s">
        <v>646</v>
      </c>
      <c r="C14" s="191">
        <v>648</v>
      </c>
      <c r="D14" s="191">
        <v>52.5</v>
      </c>
      <c r="E14" s="191">
        <v>51.45</v>
      </c>
      <c r="F14" s="191"/>
      <c r="G14" s="199">
        <f>[1]Sheet1!P10</f>
        <v>2018</v>
      </c>
      <c r="H14" s="199">
        <f>[1]Sheet1!Q10</f>
        <v>10</v>
      </c>
      <c r="I14" s="199">
        <v>1</v>
      </c>
      <c r="J14" s="199">
        <v>1</v>
      </c>
      <c r="K14" s="199">
        <v>3</v>
      </c>
      <c r="L14" s="199"/>
      <c r="M14" s="199"/>
      <c r="N14" s="199">
        <v>2</v>
      </c>
      <c r="O14" s="199">
        <v>2</v>
      </c>
      <c r="P14" s="199">
        <v>2</v>
      </c>
      <c r="Q14" s="190" t="s">
        <v>647</v>
      </c>
      <c r="R14" s="190" t="s">
        <v>647</v>
      </c>
      <c r="S14" s="190" t="s">
        <v>647</v>
      </c>
      <c r="T14" s="199">
        <v>1</v>
      </c>
    </row>
  </sheetData>
  <mergeCells count="6">
    <mergeCell ref="C1:M1"/>
    <mergeCell ref="C2:M2"/>
    <mergeCell ref="C3:G3"/>
    <mergeCell ref="C4:G4"/>
    <mergeCell ref="A5:A6"/>
    <mergeCell ref="B5:T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B0F0"/>
  </sheetPr>
  <dimension ref="A1:G12"/>
  <sheetViews>
    <sheetView workbookViewId="0">
      <selection activeCell="J9" sqref="J9"/>
    </sheetView>
  </sheetViews>
  <sheetFormatPr defaultRowHeight="15" x14ac:dyDescent="0.25"/>
  <cols>
    <col min="1" max="1" width="31.28515625" customWidth="1"/>
    <col min="2" max="2" width="29.140625" customWidth="1"/>
    <col min="3" max="3" width="28.140625" customWidth="1"/>
    <col min="4" max="4" width="13.7109375" customWidth="1"/>
  </cols>
  <sheetData>
    <row r="1" spans="1:7" ht="18" x14ac:dyDescent="0.25">
      <c r="A1" s="254" t="s">
        <v>74</v>
      </c>
      <c r="B1" s="254"/>
      <c r="C1" s="254"/>
      <c r="D1" s="254"/>
      <c r="E1" s="254"/>
      <c r="F1" s="254"/>
      <c r="G1" s="254"/>
    </row>
    <row r="2" spans="1:7" x14ac:dyDescent="0.25">
      <c r="A2" s="15"/>
      <c r="B2" s="253" t="s">
        <v>897</v>
      </c>
      <c r="C2" s="253"/>
      <c r="D2" s="253"/>
      <c r="E2" s="253"/>
      <c r="F2" s="253"/>
      <c r="G2" s="15"/>
    </row>
    <row r="3" spans="1:7" x14ac:dyDescent="0.25">
      <c r="A3" s="18"/>
      <c r="B3" s="253" t="s">
        <v>587</v>
      </c>
      <c r="C3" s="253"/>
      <c r="D3" s="253"/>
      <c r="E3" s="253"/>
      <c r="F3" s="253"/>
      <c r="G3" s="15"/>
    </row>
    <row r="4" spans="1:7" ht="67.5" x14ac:dyDescent="0.25">
      <c r="A4" s="292" t="s">
        <v>61</v>
      </c>
      <c r="B4" s="292" t="s">
        <v>75</v>
      </c>
      <c r="C4" s="292" t="s">
        <v>76</v>
      </c>
      <c r="D4" s="292" t="s">
        <v>77</v>
      </c>
      <c r="E4" s="292" t="s">
        <v>78</v>
      </c>
      <c r="F4" s="292" t="s">
        <v>79</v>
      </c>
      <c r="G4" s="292" t="s">
        <v>80</v>
      </c>
    </row>
    <row r="5" spans="1:7" x14ac:dyDescent="0.25">
      <c r="A5" s="240" t="s">
        <v>870</v>
      </c>
      <c r="B5" s="244" t="s">
        <v>871</v>
      </c>
      <c r="C5" s="244" t="s">
        <v>872</v>
      </c>
      <c r="D5" s="245" t="s">
        <v>873</v>
      </c>
      <c r="E5" s="246">
        <v>2019</v>
      </c>
      <c r="F5" s="245">
        <v>63.2</v>
      </c>
      <c r="G5" s="247">
        <v>40</v>
      </c>
    </row>
    <row r="6" spans="1:7" ht="25.5" x14ac:dyDescent="0.25">
      <c r="A6" s="240" t="s">
        <v>874</v>
      </c>
      <c r="B6" s="244" t="s">
        <v>875</v>
      </c>
      <c r="C6" s="244" t="s">
        <v>876</v>
      </c>
      <c r="D6" s="245" t="s">
        <v>877</v>
      </c>
      <c r="E6" s="246">
        <v>2020</v>
      </c>
      <c r="F6" s="245">
        <v>97.674999999999997</v>
      </c>
      <c r="G6" s="247">
        <v>73</v>
      </c>
    </row>
    <row r="7" spans="1:7" ht="25.5" x14ac:dyDescent="0.25">
      <c r="A7" s="240" t="s">
        <v>874</v>
      </c>
      <c r="B7" s="244" t="s">
        <v>875</v>
      </c>
      <c r="C7" s="244" t="s">
        <v>878</v>
      </c>
      <c r="D7" s="245" t="s">
        <v>879</v>
      </c>
      <c r="E7" s="246">
        <v>2020</v>
      </c>
      <c r="F7" s="245">
        <v>97.674999999999997</v>
      </c>
      <c r="G7" s="247">
        <v>73</v>
      </c>
    </row>
    <row r="8" spans="1:7" ht="25.5" x14ac:dyDescent="0.25">
      <c r="A8" s="240" t="s">
        <v>874</v>
      </c>
      <c r="B8" s="244" t="s">
        <v>875</v>
      </c>
      <c r="C8" s="244" t="s">
        <v>880</v>
      </c>
      <c r="D8" s="245" t="s">
        <v>881</v>
      </c>
      <c r="E8" s="246">
        <v>2019</v>
      </c>
      <c r="F8" s="245">
        <v>97.674999999999997</v>
      </c>
      <c r="G8" s="247">
        <v>73</v>
      </c>
    </row>
    <row r="9" spans="1:7" x14ac:dyDescent="0.25">
      <c r="A9" s="241" t="s">
        <v>887</v>
      </c>
      <c r="B9" s="179" t="s">
        <v>883</v>
      </c>
      <c r="C9" s="242">
        <v>0.04</v>
      </c>
      <c r="D9" s="242">
        <v>0.04</v>
      </c>
      <c r="E9" s="181">
        <v>2019</v>
      </c>
      <c r="F9" s="180"/>
      <c r="G9" s="171">
        <v>6</v>
      </c>
    </row>
    <row r="10" spans="1:7" x14ac:dyDescent="0.25">
      <c r="A10" s="178" t="s">
        <v>889</v>
      </c>
      <c r="B10" s="179" t="s">
        <v>883</v>
      </c>
      <c r="C10" s="242">
        <v>0.05</v>
      </c>
      <c r="D10" s="242">
        <v>0.05</v>
      </c>
      <c r="E10" s="242">
        <v>2020</v>
      </c>
      <c r="F10" s="180"/>
      <c r="G10" s="181">
        <v>6</v>
      </c>
    </row>
    <row r="11" spans="1:7" x14ac:dyDescent="0.25">
      <c r="A11" s="243" t="s">
        <v>882</v>
      </c>
      <c r="B11" s="242" t="s">
        <v>883</v>
      </c>
      <c r="C11" s="242">
        <v>0.35</v>
      </c>
      <c r="D11" s="242">
        <v>0.35</v>
      </c>
      <c r="E11" s="248">
        <v>2010</v>
      </c>
      <c r="F11" s="180">
        <v>0.08</v>
      </c>
      <c r="G11" s="171">
        <v>6</v>
      </c>
    </row>
    <row r="12" spans="1:7" x14ac:dyDescent="0.25">
      <c r="A12" s="243" t="s">
        <v>888</v>
      </c>
      <c r="B12" s="242" t="s">
        <v>883</v>
      </c>
      <c r="C12" s="242">
        <v>0.4</v>
      </c>
      <c r="D12" s="242">
        <v>0.4</v>
      </c>
      <c r="E12" s="248"/>
      <c r="F12" s="180"/>
      <c r="G12" s="171">
        <v>6</v>
      </c>
    </row>
  </sheetData>
  <mergeCells count="3">
    <mergeCell ref="B2:F2"/>
    <mergeCell ref="B3:F3"/>
    <mergeCell ref="A1:G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28</vt:i4>
      </vt:variant>
    </vt:vector>
  </HeadingPairs>
  <TitlesOfParts>
    <vt:vector size="28" baseType="lpstr">
      <vt:lpstr>Население</vt:lpstr>
      <vt:lpstr>Занятые </vt:lpstr>
      <vt:lpstr>мто-бюдж-ЗДРАВООХРАНЕНИЕ</vt:lpstr>
      <vt:lpstr>мто-бюдж-ОБРАЗОВАНИЕ</vt:lpstr>
      <vt:lpstr>мто-бюдж-Дошкольное образование</vt:lpstr>
      <vt:lpstr>мто-бюдж-Администрации</vt:lpstr>
      <vt:lpstr>мто-бюдж-Культура</vt:lpstr>
      <vt:lpstr>мто-бюдж-Спорт </vt:lpstr>
      <vt:lpstr>объекты жкх</vt:lpstr>
      <vt:lpstr>котельные</vt:lpstr>
      <vt:lpstr>школы</vt:lpstr>
      <vt:lpstr>школы 2</vt:lpstr>
      <vt:lpstr>детдом</vt:lpstr>
      <vt:lpstr>больницы</vt:lpstr>
      <vt:lpstr>дет_учр</vt:lpstr>
      <vt:lpstr>культура</vt:lpstr>
      <vt:lpstr>школы искусств</vt:lpstr>
      <vt:lpstr>спорт</vt:lpstr>
      <vt:lpstr>ссуз</vt:lpstr>
      <vt:lpstr>вуз</vt:lpstr>
      <vt:lpstr>энерго</vt:lpstr>
      <vt:lpstr>транспорт 2</vt:lpstr>
      <vt:lpstr>дороги</vt:lpstr>
      <vt:lpstr>сельхоз</vt:lpstr>
      <vt:lpstr>сельхоз 2</vt:lpstr>
      <vt:lpstr>связь </vt:lpstr>
      <vt:lpstr>Бюджет </vt:lpstr>
      <vt:lpstr>Промышл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Черемкина Туйара Айаловна</dc:creator>
  <cp:lastModifiedBy>Юлия Николаевна Суханова</cp:lastModifiedBy>
  <dcterms:created xsi:type="dcterms:W3CDTF">2019-02-14T03:10:07Z</dcterms:created>
  <dcterms:modified xsi:type="dcterms:W3CDTF">2021-05-13T00:08:08Z</dcterms:modified>
</cp:coreProperties>
</file>