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вод за 11-13 года" sheetId="1" r:id="rId1"/>
    <sheet name="смета" sheetId="2" r:id="rId2"/>
  </sheets>
  <externalReferences>
    <externalReference r:id="rId5"/>
    <externalReference r:id="rId6"/>
  </externalReferences>
  <definedNames>
    <definedName name="_xlnm._FilterDatabase" localSheetId="1" hidden="1">'смета'!$C$1:$C$188</definedName>
    <definedName name="_xlnm.Print_Titles" localSheetId="0">'свод за 11-13 года'!$A:$C</definedName>
    <definedName name="_xlnm.Print_Titles" localSheetId="1">'смета'!$A:$B,'смета'!$75:$76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D16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17823 остаток 5
209909,36 ост 6
99541-ост 7</t>
        </r>
      </text>
    </comment>
    <comment ref="F16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со счета 5</t>
        </r>
      </text>
    </comment>
    <comment ref="S16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со сч 7</t>
        </r>
      </text>
    </comment>
  </commentList>
</comments>
</file>

<file path=xl/sharedStrings.xml><?xml version="1.0" encoding="utf-8"?>
<sst xmlns="http://schemas.openxmlformats.org/spreadsheetml/2006/main" count="298" uniqueCount="171">
  <si>
    <t>Факт</t>
  </si>
  <si>
    <t>Содержание и ремонт общедомового имущества</t>
  </si>
  <si>
    <t>в т.ч.</t>
  </si>
  <si>
    <t xml:space="preserve"> 1.2</t>
  </si>
  <si>
    <t>Обслуживание мусоропровода</t>
  </si>
  <si>
    <t>ТО лифтов</t>
  </si>
  <si>
    <t>ТО домофона</t>
  </si>
  <si>
    <t>Отопление</t>
  </si>
  <si>
    <t>Холодное водоснабжение</t>
  </si>
  <si>
    <t>Горячее водоснабжение</t>
  </si>
  <si>
    <t>Канализация</t>
  </si>
  <si>
    <t>Электроэнергия</t>
  </si>
  <si>
    <t xml:space="preserve"> -экономия;+ перерасх</t>
  </si>
  <si>
    <t>Расходы</t>
  </si>
  <si>
    <t>Доходы</t>
  </si>
  <si>
    <t xml:space="preserve">План </t>
  </si>
  <si>
    <t>Целевое поступление ден. средств из бюджета МО "Город Мирный"</t>
  </si>
  <si>
    <t>Комсомольская 2 "А"</t>
  </si>
  <si>
    <t>Комсомольская 29 "А"</t>
  </si>
  <si>
    <t>Аммосова 16</t>
  </si>
  <si>
    <t>Московская 2</t>
  </si>
  <si>
    <t>Московская 8</t>
  </si>
  <si>
    <t>Московская 10</t>
  </si>
  <si>
    <t>Московская 12</t>
  </si>
  <si>
    <t>Оплата членских взносов, обязательных платежей</t>
  </si>
  <si>
    <t xml:space="preserve"> -недоплата;+ переплата</t>
  </si>
  <si>
    <t>начисление</t>
  </si>
  <si>
    <t>Капитальный ремонт кровли</t>
  </si>
  <si>
    <t>Замена системы ХГВС</t>
  </si>
  <si>
    <t>Установка стеклопакетов</t>
  </si>
  <si>
    <t>Установка общедомовых приборов учета</t>
  </si>
  <si>
    <t>Установка стеклопакетов 50%</t>
  </si>
  <si>
    <t>Заделка межпанпельных стыков 50%</t>
  </si>
  <si>
    <t>Установка общедомовых приборов учета 50%</t>
  </si>
  <si>
    <t>поступление</t>
  </si>
  <si>
    <t>План</t>
  </si>
  <si>
    <t xml:space="preserve"> -экономия;+ перерасход</t>
  </si>
  <si>
    <t>Содержание офиса</t>
  </si>
  <si>
    <t>Площадь</t>
  </si>
  <si>
    <t>Установка домофонных дверей и оборудования</t>
  </si>
  <si>
    <t>Ремонт фходного крыльца</t>
  </si>
  <si>
    <t>Оплата за публикацию о реорганизации</t>
  </si>
  <si>
    <t>Услуги банка</t>
  </si>
  <si>
    <t>Коммисия за прием наличных</t>
  </si>
  <si>
    <t>Коммисия за перечисление средств</t>
  </si>
  <si>
    <t>Коммисия за интернет-банкинг</t>
  </si>
  <si>
    <t>Коммисия за ведение расчетного счета</t>
  </si>
  <si>
    <t>Постоянные расходы</t>
  </si>
  <si>
    <t>Переменные расходы расходы</t>
  </si>
  <si>
    <t>Оплата 1-С гамаюн</t>
  </si>
  <si>
    <t>Содержание офиса (УЖКХ)</t>
  </si>
  <si>
    <t>Содержание преддомовой территории</t>
  </si>
  <si>
    <t>услуги машин и механизмов</t>
  </si>
  <si>
    <t>Оплата в налоговую (прибыль, изменение в устав)</t>
  </si>
  <si>
    <t>Вознаграждение за конкурс</t>
  </si>
  <si>
    <t>услуги механизмов (уборка переезда)</t>
  </si>
  <si>
    <t>Заработная плата</t>
  </si>
  <si>
    <t>Отчисления на соц.нужды</t>
  </si>
  <si>
    <t>Заработная плата (дворники, озеленение)</t>
  </si>
  <si>
    <t>Заработная плата (рабочий по рем обор)</t>
  </si>
  <si>
    <t>Уборка мест общего пользования</t>
  </si>
  <si>
    <t>материалы</t>
  </si>
  <si>
    <t>Заработная плата (уборщицы)</t>
  </si>
  <si>
    <t>Капитальные расходы</t>
  </si>
  <si>
    <t xml:space="preserve"> 1.1</t>
  </si>
  <si>
    <t xml:space="preserve"> 1.1.1</t>
  </si>
  <si>
    <t xml:space="preserve"> 1.1.2</t>
  </si>
  <si>
    <t xml:space="preserve"> 1.1.3</t>
  </si>
  <si>
    <t xml:space="preserve"> 1.1.4</t>
  </si>
  <si>
    <t xml:space="preserve"> 1.1.7</t>
  </si>
  <si>
    <t xml:space="preserve"> 1.1.8</t>
  </si>
  <si>
    <t xml:space="preserve"> -недоплата;  + переплата</t>
  </si>
  <si>
    <t>Итого расходы</t>
  </si>
  <si>
    <t>Наименование</t>
  </si>
  <si>
    <t>№ п/п</t>
  </si>
  <si>
    <t>Итого доходы</t>
  </si>
  <si>
    <t xml:space="preserve"> 1.1.9</t>
  </si>
  <si>
    <t>Коммунальные расходы (ПТВС)</t>
  </si>
  <si>
    <t>Остаток по банку</t>
  </si>
  <si>
    <t>Остаток по кассе</t>
  </si>
  <si>
    <t>Услуги почты</t>
  </si>
  <si>
    <t>Услуги связи</t>
  </si>
  <si>
    <t>Сдача электронной отчетности</t>
  </si>
  <si>
    <t>Страхование лифта</t>
  </si>
  <si>
    <t>Услуги нотариуса</t>
  </si>
  <si>
    <t>Домофон</t>
  </si>
  <si>
    <t>Публикация в газете</t>
  </si>
  <si>
    <t>Материалы</t>
  </si>
  <si>
    <t>Коммунальные платежи ПТВС</t>
  </si>
  <si>
    <t>Отчисления в соц.фонды</t>
  </si>
  <si>
    <t>Услуги подрядчиков</t>
  </si>
  <si>
    <t>Услуги машин и механизмов</t>
  </si>
  <si>
    <t>Услуги связи и интернета</t>
  </si>
  <si>
    <t>Почтовые расходы</t>
  </si>
  <si>
    <t>Услуги по сдача эл. отчетности</t>
  </si>
  <si>
    <t>Услуги натариуса</t>
  </si>
  <si>
    <t>ТО общедомовых приборов учета</t>
  </si>
  <si>
    <t>Капитальный ремонт</t>
  </si>
  <si>
    <t>Прочие</t>
  </si>
  <si>
    <t>Страхование лифтов</t>
  </si>
  <si>
    <t xml:space="preserve">Оплата найм </t>
  </si>
  <si>
    <t>Налоги</t>
  </si>
  <si>
    <t>Итого</t>
  </si>
  <si>
    <t xml:space="preserve">     в т.ч.</t>
  </si>
  <si>
    <t>Заделка межпанельных стыков</t>
  </si>
  <si>
    <t>Текущий ремонт крыши</t>
  </si>
  <si>
    <t>Устройство откосов окон</t>
  </si>
  <si>
    <t xml:space="preserve">услуги </t>
  </si>
  <si>
    <t>Ремонт крылец</t>
  </si>
  <si>
    <t>Информация сведений о собственниках</t>
  </si>
  <si>
    <t>ТО общедомовых приборов учета ХГВС и тепла</t>
  </si>
  <si>
    <t>Проезд в отпуск работника и членам семьи</t>
  </si>
  <si>
    <t>Обслуживание ККМ</t>
  </si>
  <si>
    <t>Коммисия за оформление пл поручения</t>
  </si>
  <si>
    <t>2012г</t>
  </si>
  <si>
    <t>Электроэнергия мест общего пользования</t>
  </si>
  <si>
    <t>ТО системы видеонаблюдения</t>
  </si>
  <si>
    <t>Тепловизионное обследование</t>
  </si>
  <si>
    <t>Замена стояков отопления</t>
  </si>
  <si>
    <t>Монтаж системы отключения о/дом освещения</t>
  </si>
  <si>
    <t>Установка индивидуальных приборов учета воды</t>
  </si>
  <si>
    <t>з/плата с НДЛ</t>
  </si>
  <si>
    <t>материалы и проч усл</t>
  </si>
  <si>
    <t>Уборочная площадь</t>
  </si>
  <si>
    <t>компенсация л тр</t>
  </si>
  <si>
    <t>Установка общедомовых электросчетчиков</t>
  </si>
  <si>
    <t>Улица</t>
  </si>
  <si>
    <t>№ дома</t>
  </si>
  <si>
    <t xml:space="preserve">Комсомольская </t>
  </si>
  <si>
    <t>2а</t>
  </si>
  <si>
    <t>29 а</t>
  </si>
  <si>
    <t>Аммосова</t>
  </si>
  <si>
    <t>Московская</t>
  </si>
  <si>
    <t>Оплаченно</t>
  </si>
  <si>
    <t>2011г всего</t>
  </si>
  <si>
    <t>Полученно из бюджета МО</t>
  </si>
  <si>
    <t>2011-2012г.г.</t>
  </si>
  <si>
    <t>Выполнение сметы доходов и расходов ТСЖ "9 квартал" за 2013г.</t>
  </si>
  <si>
    <t>2013г</t>
  </si>
  <si>
    <t>Задолженность 2013г.</t>
  </si>
  <si>
    <t>Остаток денежных средств на 01.02.2013г.</t>
  </si>
  <si>
    <t>Утепление офиса</t>
  </si>
  <si>
    <t>Установка почтовых ящиков</t>
  </si>
  <si>
    <t>Устройство входных откосов</t>
  </si>
  <si>
    <t>Регулировка автоматики в узле ввода</t>
  </si>
  <si>
    <t>Уборка и вывоз ТБО</t>
  </si>
  <si>
    <t>Заработная плата рабочего по обслуживанию мусоропровода</t>
  </si>
  <si>
    <t>материалы для дезенфекции</t>
  </si>
  <si>
    <t xml:space="preserve">Услуги по обслуживанию </t>
  </si>
  <si>
    <t xml:space="preserve">Обслуживание мусоропровода </t>
  </si>
  <si>
    <t>Ремонт подъездов</t>
  </si>
  <si>
    <t>Гос.пошлина в суд</t>
  </si>
  <si>
    <t>Прочистка вентиляционных каналов (гидроподъемниек)</t>
  </si>
  <si>
    <t>Контрольная регистрация ККМ</t>
  </si>
  <si>
    <t>Из банка</t>
  </si>
  <si>
    <t>Всего денежных средств за 2013г. С остатком 2012г.</t>
  </si>
  <si>
    <t>Замена отводящей канализации с установкой греющего кабеля</t>
  </si>
  <si>
    <t>кап рем</t>
  </si>
  <si>
    <t>Фактическое</t>
  </si>
  <si>
    <t>Фактическое поступление</t>
  </si>
  <si>
    <t>Итого расходов</t>
  </si>
  <si>
    <t>Остаток по приборам учета</t>
  </si>
  <si>
    <t xml:space="preserve"> +долг дома;- долг перед домом</t>
  </si>
  <si>
    <t>Расходы по домам</t>
  </si>
  <si>
    <t>Остаток по приборам учета на 01.01.2013г.</t>
  </si>
  <si>
    <t>2011-2013г.г.</t>
  </si>
  <si>
    <t xml:space="preserve"> - Долг жителей; + переплата жителей</t>
  </si>
  <si>
    <t>Сводная таблица по доходам и расходам ТСЖ "9 квартал" за 2011-2013г.</t>
  </si>
  <si>
    <t>ТО общедомового оборудования ХГВ и К, эл/обор</t>
  </si>
  <si>
    <t>Вывоз и утилизация ТБО</t>
  </si>
  <si>
    <t xml:space="preserve">ТО общедомового оборудования ХГВ и К, эл/обор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</si>
</sst>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E+00"/>
    <numFmt numFmtId="182" formatCode="0.000E+00"/>
    <numFmt numFmtId="183" formatCode="0.0E+00"/>
    <numFmt numFmtId="184" formatCode="0E+00"/>
    <numFmt numFmtId="185" formatCode="0.00000E+00"/>
    <numFmt numFmtId="186" formatCode="0.000000E+00"/>
    <numFmt numFmtId="187" formatCode="0.0000000E+00"/>
    <numFmt numFmtId="188" formatCode="0.000"/>
    <numFmt numFmtId="189" formatCode="0.000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16" fontId="2" fillId="0" borderId="1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80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89" fontId="1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189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2" fontId="1" fillId="0" borderId="20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2" fontId="6" fillId="0" borderId="28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2" fillId="0" borderId="24" xfId="0" applyFont="1" applyFill="1" applyBorder="1" applyAlignment="1">
      <alignment horizontal="center" wrapText="1"/>
    </xf>
    <xf numFmtId="0" fontId="9" fillId="0" borderId="21" xfId="0" applyFont="1" applyBorder="1" applyAlignment="1">
      <alignment/>
    </xf>
    <xf numFmtId="0" fontId="2" fillId="0" borderId="12" xfId="0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Font="1" applyAlignment="1">
      <alignment/>
    </xf>
    <xf numFmtId="2" fontId="2" fillId="0" borderId="11" xfId="0" applyNumberFormat="1" applyFont="1" applyFill="1" applyBorder="1" applyAlignment="1">
      <alignment/>
    </xf>
    <xf numFmtId="0" fontId="10" fillId="0" borderId="31" xfId="0" applyFont="1" applyFill="1" applyBorder="1" applyAlignment="1">
      <alignment horizontal="left"/>
    </xf>
    <xf numFmtId="0" fontId="10" fillId="0" borderId="32" xfId="0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2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6" fillId="0" borderId="27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2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2" fontId="2" fillId="0" borderId="39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39" xfId="0" applyFont="1" applyBorder="1" applyAlignment="1">
      <alignment horizontal="center" wrapText="1"/>
    </xf>
    <xf numFmtId="2" fontId="2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47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left" wrapText="1"/>
    </xf>
    <xf numFmtId="2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5" fillId="0" borderId="3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5" fillId="0" borderId="31" xfId="0" applyFont="1" applyFill="1" applyBorder="1" applyAlignment="1">
      <alignment horizontal="left"/>
    </xf>
    <xf numFmtId="0" fontId="15" fillId="0" borderId="32" xfId="0" applyFont="1" applyFill="1" applyBorder="1" applyAlignment="1">
      <alignment wrapText="1"/>
    </xf>
    <xf numFmtId="2" fontId="15" fillId="0" borderId="31" xfId="0" applyNumberFormat="1" applyFont="1" applyFill="1" applyBorder="1" applyAlignment="1">
      <alignment/>
    </xf>
    <xf numFmtId="2" fontId="15" fillId="0" borderId="33" xfId="0" applyNumberFormat="1" applyFont="1" applyFill="1" applyBorder="1" applyAlignment="1">
      <alignment/>
    </xf>
    <xf numFmtId="0" fontId="16" fillId="0" borderId="32" xfId="0" applyFont="1" applyFill="1" applyBorder="1" applyAlignment="1">
      <alignment/>
    </xf>
    <xf numFmtId="2" fontId="15" fillId="0" borderId="34" xfId="0" applyNumberFormat="1" applyFont="1" applyFill="1" applyBorder="1" applyAlignment="1">
      <alignment/>
    </xf>
    <xf numFmtId="2" fontId="15" fillId="0" borderId="32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5" fillId="0" borderId="20" xfId="0" applyNumberFormat="1" applyFont="1" applyFill="1" applyBorder="1" applyAlignment="1">
      <alignment/>
    </xf>
    <xf numFmtId="2" fontId="17" fillId="0" borderId="2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2" fontId="10" fillId="0" borderId="37" xfId="0" applyNumberFormat="1" applyFont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0" fontId="10" fillId="0" borderId="3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2" fontId="5" fillId="0" borderId="24" xfId="0" applyNumberFormat="1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/>
    </xf>
    <xf numFmtId="0" fontId="2" fillId="0" borderId="53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center" wrapText="1"/>
    </xf>
    <xf numFmtId="2" fontId="2" fillId="0" borderId="55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2" fillId="0" borderId="56" xfId="0" applyFont="1" applyBorder="1" applyAlignment="1">
      <alignment/>
    </xf>
    <xf numFmtId="2" fontId="5" fillId="0" borderId="57" xfId="0" applyNumberFormat="1" applyFont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2" fontId="57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2" fontId="56" fillId="0" borderId="0" xfId="0" applyNumberFormat="1" applyFont="1" applyFill="1" applyAlignment="1">
      <alignment/>
    </xf>
    <xf numFmtId="195" fontId="58" fillId="0" borderId="0" xfId="0" applyNumberFormat="1" applyFont="1" applyFill="1" applyAlignment="1">
      <alignment/>
    </xf>
    <xf numFmtId="180" fontId="56" fillId="0" borderId="0" xfId="0" applyNumberFormat="1" applyFont="1" applyFill="1" applyAlignment="1">
      <alignment/>
    </xf>
    <xf numFmtId="0" fontId="2" fillId="0" borderId="5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0" borderId="6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8;&#1057;&#1046;%209%20&#1082;&#1074;&#1072;&#1088;&#1090;&#1072;&#1083;\&#1054;&#1090;&#1095;&#1077;&#1090;\&#1054;&#1090;&#1095;&#1077;&#1090;%20&#1058;&#1057;&#1046;\&#1054;&#1090;&#1095;&#1077;&#1090;%20&#1058;&#1057;&#1046;%202011&#1075;\&#1043;&#1086;&#1076;&#1086;&#1074;&#1086;&#1081;%20&#1086;&#1090;&#1095;&#1077;&#1090;%20201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8;&#1057;&#1046;%209%20&#1082;&#1074;&#1072;&#1088;&#1090;&#1072;&#1083;\&#1054;&#1090;&#1095;&#1077;&#1090;\&#1054;&#1090;&#1095;&#1077;&#1090;%20&#1058;&#1057;&#1046;\&#1054;&#1090;&#1095;&#1077;&#1090;%20&#1058;&#1057;&#1046;%202012&#1075;\&#1043;&#1086;&#1076;&#1086;&#1074;&#1086;&#1081;%20&#1086;&#1090;&#1095;&#1077;&#1090;%202012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"/>
    </sheetNames>
    <sheetDataSet>
      <sheetData sheetId="1">
        <row r="11">
          <cell r="G11">
            <v>918170</v>
          </cell>
          <cell r="J11">
            <v>222144</v>
          </cell>
          <cell r="M11">
            <v>2034650</v>
          </cell>
          <cell r="P11">
            <v>1192666</v>
          </cell>
          <cell r="S11">
            <v>1520281.5</v>
          </cell>
          <cell r="V11">
            <v>1465813.5</v>
          </cell>
          <cell r="Y11">
            <v>1150513</v>
          </cell>
        </row>
        <row r="130">
          <cell r="G130">
            <v>8282470.89</v>
          </cell>
          <cell r="J130">
            <v>2432587.9299999997</v>
          </cell>
          <cell r="M130">
            <v>6098537.8100000005</v>
          </cell>
          <cell r="P130">
            <v>2958843.67</v>
          </cell>
          <cell r="S130">
            <v>2969382.79</v>
          </cell>
          <cell r="V130">
            <v>2927949.76</v>
          </cell>
          <cell r="Y130">
            <v>3590476.32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смета"/>
    </sheetNames>
    <sheetDataSet>
      <sheetData sheetId="2">
        <row r="11">
          <cell r="G11">
            <v>2515889</v>
          </cell>
          <cell r="J11">
            <v>1079801.5</v>
          </cell>
          <cell r="M11">
            <v>286319</v>
          </cell>
          <cell r="P11">
            <v>291195</v>
          </cell>
          <cell r="S11">
            <v>1100238</v>
          </cell>
          <cell r="V11">
            <v>11362</v>
          </cell>
          <cell r="Y11">
            <v>286135</v>
          </cell>
        </row>
        <row r="154">
          <cell r="G154">
            <v>11046815.362000002</v>
          </cell>
          <cell r="J154">
            <v>3668422.14</v>
          </cell>
          <cell r="M154">
            <v>4500186.909999999</v>
          </cell>
          <cell r="P154">
            <v>2379584.19</v>
          </cell>
          <cell r="S154">
            <v>2841390.6599999997</v>
          </cell>
          <cell r="V154">
            <v>1618046.7599999998</v>
          </cell>
          <cell r="Y154">
            <v>2744670.12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tabSelected="1" zoomScalePageLayoutView="0" workbookViewId="0" topLeftCell="A1">
      <pane xSplit="3" ySplit="6" topLeftCell="AB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4" sqref="A4:X15"/>
    </sheetView>
  </sheetViews>
  <sheetFormatPr defaultColWidth="9.140625" defaultRowHeight="12.75" outlineLevelCol="1"/>
  <cols>
    <col min="1" max="1" width="4.421875" style="2" customWidth="1"/>
    <col min="2" max="2" width="13.57421875" style="2" customWidth="1"/>
    <col min="3" max="3" width="7.7109375" style="2" customWidth="1"/>
    <col min="4" max="4" width="12.28125" style="2" customWidth="1" outlineLevel="1"/>
    <col min="5" max="5" width="13.8515625" style="126" customWidth="1" outlineLevel="1" collapsed="1"/>
    <col min="6" max="8" width="12.57421875" style="2" customWidth="1" outlineLevel="1"/>
    <col min="9" max="9" width="9.8515625" style="2" customWidth="1" outlineLevel="1"/>
    <col min="10" max="11" width="11.421875" style="2" customWidth="1" outlineLevel="1"/>
    <col min="12" max="12" width="11.7109375" style="2" customWidth="1" outlineLevel="1"/>
    <col min="13" max="13" width="11.140625" style="2" customWidth="1" outlineLevel="1"/>
    <col min="14" max="14" width="11.421875" style="2" customWidth="1" outlineLevel="1"/>
    <col min="15" max="15" width="11.8515625" style="2" customWidth="1" outlineLevel="1"/>
    <col min="16" max="16" width="10.7109375" style="2" customWidth="1" outlineLevel="1"/>
    <col min="17" max="17" width="11.8515625" style="2" customWidth="1" outlineLevel="1"/>
    <col min="18" max="18" width="11.421875" style="2" customWidth="1" outlineLevel="1"/>
    <col min="19" max="19" width="11.7109375" style="2" customWidth="1" outlineLevel="1"/>
    <col min="20" max="20" width="11.28125" style="2" customWidth="1" outlineLevel="1"/>
    <col min="21" max="21" width="11.421875" style="2" customWidth="1" outlineLevel="1"/>
    <col min="22" max="22" width="11.8515625" style="2" customWidth="1" outlineLevel="1"/>
    <col min="23" max="23" width="12.57421875" style="2" customWidth="1" outlineLevel="1"/>
    <col min="24" max="24" width="13.7109375" style="2" customWidth="1" outlineLevel="1"/>
    <col min="25" max="25" width="11.421875" style="2" customWidth="1"/>
    <col min="26" max="26" width="11.7109375" style="2" customWidth="1"/>
    <col min="27" max="27" width="11.28125" style="2" customWidth="1"/>
    <col min="28" max="28" width="11.421875" style="2" customWidth="1"/>
    <col min="29" max="29" width="11.8515625" style="2" customWidth="1"/>
    <col min="30" max="30" width="10.7109375" style="2" customWidth="1"/>
    <col min="31" max="31" width="13.7109375" style="2" customWidth="1"/>
    <col min="32" max="32" width="11.421875" style="2" customWidth="1"/>
    <col min="33" max="33" width="11.7109375" style="2" customWidth="1"/>
    <col min="34" max="34" width="11.28125" style="2" customWidth="1"/>
    <col min="35" max="35" width="11.421875" style="2" customWidth="1"/>
    <col min="36" max="36" width="11.8515625" style="2" customWidth="1"/>
    <col min="37" max="37" width="12.57421875" style="2" customWidth="1"/>
    <col min="38" max="38" width="13.7109375" style="2" customWidth="1"/>
    <col min="39" max="39" width="14.28125" style="2" customWidth="1"/>
    <col min="40" max="40" width="9.140625" style="2" customWidth="1"/>
    <col min="41" max="41" width="13.421875" style="2" customWidth="1"/>
    <col min="42" max="16384" width="9.140625" style="2" customWidth="1"/>
  </cols>
  <sheetData>
    <row r="1" ht="15.75">
      <c r="A1" s="7" t="s">
        <v>167</v>
      </c>
    </row>
    <row r="3" ht="13.5" thickBot="1"/>
    <row r="4" spans="1:39" ht="12.75" customHeight="1">
      <c r="A4" s="263" t="s">
        <v>74</v>
      </c>
      <c r="B4" s="266" t="s">
        <v>126</v>
      </c>
      <c r="C4" s="269" t="s">
        <v>127</v>
      </c>
      <c r="D4" s="253" t="s">
        <v>134</v>
      </c>
      <c r="E4" s="254"/>
      <c r="F4" s="254"/>
      <c r="G4" s="254"/>
      <c r="H4" s="254"/>
      <c r="I4" s="254"/>
      <c r="J4" s="254"/>
      <c r="K4" s="253" t="s">
        <v>114</v>
      </c>
      <c r="L4" s="254"/>
      <c r="M4" s="254"/>
      <c r="N4" s="254"/>
      <c r="O4" s="254"/>
      <c r="P4" s="254"/>
      <c r="Q4" s="254"/>
      <c r="R4" s="253" t="s">
        <v>136</v>
      </c>
      <c r="S4" s="254"/>
      <c r="T4" s="254"/>
      <c r="U4" s="254"/>
      <c r="V4" s="254"/>
      <c r="W4" s="254"/>
      <c r="X4" s="254"/>
      <c r="Y4" s="253" t="s">
        <v>138</v>
      </c>
      <c r="Z4" s="254"/>
      <c r="AA4" s="254"/>
      <c r="AB4" s="254"/>
      <c r="AC4" s="254"/>
      <c r="AD4" s="254"/>
      <c r="AE4" s="254"/>
      <c r="AF4" s="253" t="s">
        <v>165</v>
      </c>
      <c r="AG4" s="254"/>
      <c r="AH4" s="254"/>
      <c r="AI4" s="254"/>
      <c r="AJ4" s="254"/>
      <c r="AK4" s="254"/>
      <c r="AL4" s="259"/>
      <c r="AM4" s="250" t="s">
        <v>166</v>
      </c>
    </row>
    <row r="5" spans="1:39" ht="12.75" customHeight="1">
      <c r="A5" s="264"/>
      <c r="B5" s="267"/>
      <c r="C5" s="270"/>
      <c r="D5" s="255" t="s">
        <v>159</v>
      </c>
      <c r="E5" s="220"/>
      <c r="F5" s="228"/>
      <c r="G5" s="260" t="s">
        <v>160</v>
      </c>
      <c r="H5" s="262" t="s">
        <v>158</v>
      </c>
      <c r="I5" s="260"/>
      <c r="J5" s="257" t="s">
        <v>162</v>
      </c>
      <c r="K5" s="255" t="str">
        <f>+D5</f>
        <v>Фактическое поступление</v>
      </c>
      <c r="L5" s="169"/>
      <c r="M5" s="169"/>
      <c r="N5" s="257" t="str">
        <f>+G5</f>
        <v>Итого расходов</v>
      </c>
      <c r="O5" s="169"/>
      <c r="P5" s="169"/>
      <c r="Q5" s="172"/>
      <c r="R5" s="255" t="str">
        <f>+K5</f>
        <v>Фактическое поступление</v>
      </c>
      <c r="S5" s="169"/>
      <c r="T5" s="169"/>
      <c r="U5" s="257" t="str">
        <f>+N5</f>
        <v>Итого расходов</v>
      </c>
      <c r="V5" s="169"/>
      <c r="W5" s="169"/>
      <c r="X5" s="172"/>
      <c r="Y5" s="255" t="str">
        <f>+R5</f>
        <v>Фактическое поступление</v>
      </c>
      <c r="Z5" s="169"/>
      <c r="AA5" s="169"/>
      <c r="AB5" s="257" t="str">
        <f>+U5</f>
        <v>Итого расходов</v>
      </c>
      <c r="AC5" s="169"/>
      <c r="AD5" s="169"/>
      <c r="AE5" s="172"/>
      <c r="AF5" s="255" t="str">
        <f>+Y5</f>
        <v>Фактическое поступление</v>
      </c>
      <c r="AG5" s="169"/>
      <c r="AH5" s="169"/>
      <c r="AI5" s="257" t="str">
        <f>+AB5</f>
        <v>Итого расходов</v>
      </c>
      <c r="AJ5" s="169"/>
      <c r="AK5" s="169"/>
      <c r="AL5" s="172"/>
      <c r="AM5" s="251"/>
    </row>
    <row r="6" spans="1:39" s="163" customFormat="1" ht="51.75" thickBot="1">
      <c r="A6" s="265"/>
      <c r="B6" s="268"/>
      <c r="C6" s="271"/>
      <c r="D6" s="256"/>
      <c r="E6" s="221" t="s">
        <v>133</v>
      </c>
      <c r="F6" s="24" t="s">
        <v>135</v>
      </c>
      <c r="G6" s="261"/>
      <c r="H6" s="23" t="s">
        <v>163</v>
      </c>
      <c r="I6" s="23" t="s">
        <v>161</v>
      </c>
      <c r="J6" s="258"/>
      <c r="K6" s="256"/>
      <c r="L6" s="23" t="str">
        <f>+E6</f>
        <v>Оплаченно</v>
      </c>
      <c r="M6" s="23" t="str">
        <f>+F6</f>
        <v>Полученно из бюджета МО</v>
      </c>
      <c r="N6" s="258"/>
      <c r="O6" s="23" t="str">
        <f>+H6</f>
        <v>Расходы по домам</v>
      </c>
      <c r="P6" s="23" t="str">
        <f>+I6</f>
        <v>Остаток по приборам учета</v>
      </c>
      <c r="Q6" s="164" t="str">
        <f>+J5</f>
        <v> +долг дома;- долг перед домом</v>
      </c>
      <c r="R6" s="256"/>
      <c r="S6" s="23" t="str">
        <f>+L6</f>
        <v>Оплаченно</v>
      </c>
      <c r="T6" s="23" t="str">
        <f>+M6</f>
        <v>Полученно из бюджета МО</v>
      </c>
      <c r="U6" s="258"/>
      <c r="V6" s="23" t="str">
        <f>+O6</f>
        <v>Расходы по домам</v>
      </c>
      <c r="W6" s="23" t="s">
        <v>164</v>
      </c>
      <c r="X6" s="164" t="str">
        <f>+Q6</f>
        <v> +долг дома;- долг перед домом</v>
      </c>
      <c r="Y6" s="256"/>
      <c r="Z6" s="23" t="str">
        <f>+S6</f>
        <v>Оплаченно</v>
      </c>
      <c r="AA6" s="23" t="str">
        <f>+T6</f>
        <v>Полученно из бюджета МО</v>
      </c>
      <c r="AB6" s="258"/>
      <c r="AC6" s="23" t="str">
        <f>+V6</f>
        <v>Расходы по домам</v>
      </c>
      <c r="AD6" s="23" t="str">
        <f>+W6</f>
        <v>Остаток по приборам учета на 01.01.2013г.</v>
      </c>
      <c r="AE6" s="164" t="str">
        <f>+X6</f>
        <v> +долг дома;- долг перед домом</v>
      </c>
      <c r="AF6" s="256"/>
      <c r="AG6" s="23" t="str">
        <f>+Z6</f>
        <v>Оплаченно</v>
      </c>
      <c r="AH6" s="23" t="str">
        <f>+AA6</f>
        <v>Полученно из бюджета МО</v>
      </c>
      <c r="AI6" s="258"/>
      <c r="AJ6" s="23" t="str">
        <f>+AC6</f>
        <v>Расходы по домам</v>
      </c>
      <c r="AK6" s="23" t="s">
        <v>164</v>
      </c>
      <c r="AL6" s="232" t="str">
        <f>+AE6</f>
        <v> +долг дома;- долг перед домом</v>
      </c>
      <c r="AM6" s="252"/>
    </row>
    <row r="7" spans="1:41" ht="12.75">
      <c r="A7" s="152">
        <v>1</v>
      </c>
      <c r="B7" s="153" t="s">
        <v>128</v>
      </c>
      <c r="C7" s="165" t="s">
        <v>129</v>
      </c>
      <c r="D7" s="170">
        <f aca="true" t="shared" si="0" ref="D7:D13">SUM(E7:F7)</f>
        <v>8489885.71</v>
      </c>
      <c r="E7" s="222">
        <v>7571715.710000001</v>
      </c>
      <c r="F7" s="229">
        <f>+'[1]смета'!$G$11</f>
        <v>918170</v>
      </c>
      <c r="G7" s="225">
        <f>SUM(H7:I7)</f>
        <v>8907118.89</v>
      </c>
      <c r="H7" s="173">
        <f>+'[1]смета'!$G$130</f>
        <v>8282470.89</v>
      </c>
      <c r="I7" s="174">
        <v>624648</v>
      </c>
      <c r="J7" s="174">
        <f aca="true" t="shared" si="1" ref="J7:J13">+G7-D7</f>
        <v>417233.1799999997</v>
      </c>
      <c r="K7" s="175">
        <f aca="true" t="shared" si="2" ref="K7:K13">SUM(L7:M7)</f>
        <v>10614693.820000002</v>
      </c>
      <c r="L7" s="176">
        <v>8098804.820000002</v>
      </c>
      <c r="M7" s="173">
        <f>+'[2]смета'!$G$11</f>
        <v>2515889</v>
      </c>
      <c r="N7" s="173">
        <f>SUM(O7:P7)</f>
        <v>11281463.362000002</v>
      </c>
      <c r="O7" s="173">
        <f>+'[2]смета'!$G$154</f>
        <v>11046815.362000002</v>
      </c>
      <c r="P7" s="174">
        <f>+I7-390000</f>
        <v>234648</v>
      </c>
      <c r="Q7" s="174">
        <f aca="true" t="shared" si="3" ref="Q7:Q13">+N7-K7</f>
        <v>666769.5419999994</v>
      </c>
      <c r="R7" s="175">
        <f aca="true" t="shared" si="4" ref="R7:R13">SUM(S7:T7)</f>
        <v>19104579.53</v>
      </c>
      <c r="S7" s="176">
        <f>+E7+L7</f>
        <v>15670520.530000003</v>
      </c>
      <c r="T7" s="176">
        <f>+F7+M7</f>
        <v>3434059</v>
      </c>
      <c r="U7" s="173">
        <f>SUM(V7:W7)</f>
        <v>19563934.252</v>
      </c>
      <c r="V7" s="176">
        <f>+H7+O7</f>
        <v>19329286.252</v>
      </c>
      <c r="W7" s="174">
        <f>+P7</f>
        <v>234648</v>
      </c>
      <c r="X7" s="174">
        <f aca="true" t="shared" si="5" ref="X7:X13">+U7-R7</f>
        <v>459354.72199999914</v>
      </c>
      <c r="Y7" s="175">
        <f aca="true" t="shared" si="6" ref="Y7:Y13">SUM(Z7:AA7)</f>
        <v>8377958.67</v>
      </c>
      <c r="Z7" s="176">
        <f>+смета!G10</f>
        <v>8191198.67</v>
      </c>
      <c r="AA7" s="173">
        <f>+смета!G11</f>
        <v>186760</v>
      </c>
      <c r="AB7" s="173">
        <f>SUM(AC7:AD7)</f>
        <v>7585007.070000001</v>
      </c>
      <c r="AC7" s="173">
        <f>+смета!G165</f>
        <v>7585007.070000001</v>
      </c>
      <c r="AD7" s="174"/>
      <c r="AE7" s="174">
        <f aca="true" t="shared" si="7" ref="AE7:AE13">+AB7-Y7</f>
        <v>-792951.5999999987</v>
      </c>
      <c r="AF7" s="175">
        <f aca="true" t="shared" si="8" ref="AF7:AF13">SUM(AG7:AH7)</f>
        <v>27482538.200000003</v>
      </c>
      <c r="AG7" s="176">
        <f>+S7+Z7</f>
        <v>23861719.200000003</v>
      </c>
      <c r="AH7" s="176">
        <f>+T7+AA7</f>
        <v>3620819</v>
      </c>
      <c r="AI7" s="173">
        <f>SUM(AJ7:AK7)</f>
        <v>26914293.322</v>
      </c>
      <c r="AJ7" s="176">
        <f>+V7+AC7</f>
        <v>26914293.322</v>
      </c>
      <c r="AK7" s="174">
        <f>+AD7</f>
        <v>0</v>
      </c>
      <c r="AL7" s="233">
        <f>+AI7-AF7</f>
        <v>-568244.8780000024</v>
      </c>
      <c r="AM7" s="237">
        <f>+смета!H20</f>
        <v>-268745.2500000005</v>
      </c>
      <c r="AO7" s="55">
        <f>+AM7+AL7</f>
        <v>-836990.1280000028</v>
      </c>
    </row>
    <row r="8" spans="1:41" ht="12.75">
      <c r="A8" s="155">
        <v>2</v>
      </c>
      <c r="B8" s="156" t="s">
        <v>128</v>
      </c>
      <c r="C8" s="166" t="s">
        <v>130</v>
      </c>
      <c r="D8" s="170">
        <f t="shared" si="0"/>
        <v>2552869.07</v>
      </c>
      <c r="E8" s="223">
        <v>2330725.07</v>
      </c>
      <c r="F8" s="230">
        <f>+'[1]смета'!$J$11</f>
        <v>222144</v>
      </c>
      <c r="G8" s="226">
        <f aca="true" t="shared" si="9" ref="G8:G14">SUM(H8:I8)</f>
        <v>2654731.9299999997</v>
      </c>
      <c r="H8" s="156">
        <f>+'[1]смета'!$J$130</f>
        <v>2432587.9299999997</v>
      </c>
      <c r="I8" s="158">
        <v>222144</v>
      </c>
      <c r="J8" s="158">
        <f t="shared" si="1"/>
        <v>101862.85999999987</v>
      </c>
      <c r="K8" s="177">
        <f t="shared" si="2"/>
        <v>3712451.17</v>
      </c>
      <c r="L8" s="157">
        <v>2632649.67</v>
      </c>
      <c r="M8" s="156">
        <f>+'[2]смета'!$J$11</f>
        <v>1079801.5</v>
      </c>
      <c r="N8" s="156">
        <f aca="true" t="shared" si="10" ref="N8:N14">SUM(O8:P8)</f>
        <v>3890566.14</v>
      </c>
      <c r="O8" s="156">
        <f>+'[2]смета'!$J$154</f>
        <v>3668422.14</v>
      </c>
      <c r="P8" s="158">
        <f>+I8</f>
        <v>222144</v>
      </c>
      <c r="Q8" s="158">
        <f t="shared" si="3"/>
        <v>178114.9700000002</v>
      </c>
      <c r="R8" s="177">
        <f t="shared" si="4"/>
        <v>6265320.24</v>
      </c>
      <c r="S8" s="157">
        <f aca="true" t="shared" si="11" ref="S8:S13">+E8+L8</f>
        <v>4963374.74</v>
      </c>
      <c r="T8" s="157">
        <f aca="true" t="shared" si="12" ref="T8:V13">+F8+M8</f>
        <v>1301945.5</v>
      </c>
      <c r="U8" s="156">
        <f aca="true" t="shared" si="13" ref="U8:U14">SUM(V8:W8)</f>
        <v>6323154.07</v>
      </c>
      <c r="V8" s="157">
        <f t="shared" si="12"/>
        <v>6101010.07</v>
      </c>
      <c r="W8" s="158">
        <f aca="true" t="shared" si="14" ref="W8:W13">+P8</f>
        <v>222144</v>
      </c>
      <c r="X8" s="158">
        <f t="shared" si="5"/>
        <v>57833.830000000075</v>
      </c>
      <c r="Y8" s="177">
        <f t="shared" si="6"/>
        <v>2681671.54</v>
      </c>
      <c r="Z8" s="157">
        <f>+смета!J10</f>
        <v>2681671.54</v>
      </c>
      <c r="AA8" s="156">
        <f>+смета!J11</f>
        <v>0</v>
      </c>
      <c r="AB8" s="156">
        <f aca="true" t="shared" si="15" ref="AB8:AB14">SUM(AC8:AD8)</f>
        <v>3217711.7900000005</v>
      </c>
      <c r="AC8" s="156">
        <f>+смета!J165</f>
        <v>3217711.7900000005</v>
      </c>
      <c r="AD8" s="158"/>
      <c r="AE8" s="158">
        <f t="shared" si="7"/>
        <v>536040.2500000005</v>
      </c>
      <c r="AF8" s="177">
        <f t="shared" si="8"/>
        <v>8946991.780000001</v>
      </c>
      <c r="AG8" s="157">
        <f aca="true" t="shared" si="16" ref="AG8:AG13">+S8+Z8</f>
        <v>7645046.28</v>
      </c>
      <c r="AH8" s="157">
        <f aca="true" t="shared" si="17" ref="AH8:AH13">+T8+AA8</f>
        <v>1301945.5</v>
      </c>
      <c r="AI8" s="156">
        <f aca="true" t="shared" si="18" ref="AI8:AI14">SUM(AJ8:AK8)</f>
        <v>9318721.860000001</v>
      </c>
      <c r="AJ8" s="157">
        <f aca="true" t="shared" si="19" ref="AJ8:AJ13">+V8+AC8</f>
        <v>9318721.860000001</v>
      </c>
      <c r="AK8" s="158">
        <f aca="true" t="shared" si="20" ref="AK8:AK13">+AD8</f>
        <v>0</v>
      </c>
      <c r="AL8" s="234">
        <f>+AI8-AF8</f>
        <v>371730.0800000001</v>
      </c>
      <c r="AM8" s="237">
        <f>+смета!K20</f>
        <v>-48173.5199999998</v>
      </c>
      <c r="AO8" s="55">
        <f aca="true" t="shared" si="21" ref="AO8:AO13">+AM8+AL8</f>
        <v>323556.5600000003</v>
      </c>
    </row>
    <row r="9" spans="1:41" ht="12.75">
      <c r="A9" s="155">
        <v>3</v>
      </c>
      <c r="B9" s="156" t="s">
        <v>131</v>
      </c>
      <c r="C9" s="166">
        <v>16</v>
      </c>
      <c r="D9" s="170">
        <f t="shared" si="0"/>
        <v>6185598.98</v>
      </c>
      <c r="E9" s="223">
        <v>4150948.98</v>
      </c>
      <c r="F9" s="230">
        <f>+'[1]смета'!$M$11</f>
        <v>2034650</v>
      </c>
      <c r="G9" s="226">
        <f t="shared" si="9"/>
        <v>6098537.8100000005</v>
      </c>
      <c r="H9" s="156">
        <f>+'[1]смета'!$M$130</f>
        <v>6098537.8100000005</v>
      </c>
      <c r="I9" s="158"/>
      <c r="J9" s="158">
        <f t="shared" si="1"/>
        <v>-87061.16999999993</v>
      </c>
      <c r="K9" s="177">
        <f t="shared" si="2"/>
        <v>4935851.21</v>
      </c>
      <c r="L9" s="157">
        <v>4649532.21</v>
      </c>
      <c r="M9" s="156">
        <f>+'[2]смета'!$M$11</f>
        <v>286319</v>
      </c>
      <c r="N9" s="156">
        <f t="shared" si="10"/>
        <v>4775051.909999999</v>
      </c>
      <c r="O9" s="156">
        <f>+'[2]смета'!$M$154</f>
        <v>4500186.909999999</v>
      </c>
      <c r="P9" s="158">
        <v>274865</v>
      </c>
      <c r="Q9" s="158">
        <f t="shared" si="3"/>
        <v>-160799.30000000075</v>
      </c>
      <c r="R9" s="177">
        <f t="shared" si="4"/>
        <v>11121450.19</v>
      </c>
      <c r="S9" s="157">
        <f t="shared" si="11"/>
        <v>8800481.19</v>
      </c>
      <c r="T9" s="157">
        <f t="shared" si="12"/>
        <v>2320969</v>
      </c>
      <c r="U9" s="156">
        <f t="shared" si="13"/>
        <v>10873589.719999999</v>
      </c>
      <c r="V9" s="157">
        <f t="shared" si="12"/>
        <v>10598724.719999999</v>
      </c>
      <c r="W9" s="158">
        <f t="shared" si="14"/>
        <v>274865</v>
      </c>
      <c r="X9" s="158">
        <f t="shared" si="5"/>
        <v>-247860.47000000067</v>
      </c>
      <c r="Y9" s="177">
        <f t="shared" si="6"/>
        <v>5020119.32</v>
      </c>
      <c r="Z9" s="157">
        <f>+смета!M10</f>
        <v>4496748.32</v>
      </c>
      <c r="AA9" s="156">
        <f>+смета!M11</f>
        <v>523371</v>
      </c>
      <c r="AB9" s="156">
        <f t="shared" si="15"/>
        <v>5599572.41</v>
      </c>
      <c r="AC9" s="156">
        <f>+смета!M165</f>
        <v>5324707.41</v>
      </c>
      <c r="AD9" s="158">
        <f>+W9</f>
        <v>274865</v>
      </c>
      <c r="AE9" s="158">
        <f t="shared" si="7"/>
        <v>579453.0899999999</v>
      </c>
      <c r="AF9" s="177">
        <f t="shared" si="8"/>
        <v>16141569.51</v>
      </c>
      <c r="AG9" s="157">
        <f t="shared" si="16"/>
        <v>13297229.51</v>
      </c>
      <c r="AH9" s="157">
        <f t="shared" si="17"/>
        <v>2844340</v>
      </c>
      <c r="AI9" s="156">
        <f t="shared" si="18"/>
        <v>16198297.129999999</v>
      </c>
      <c r="AJ9" s="157">
        <f t="shared" si="19"/>
        <v>15923432.129999999</v>
      </c>
      <c r="AK9" s="158">
        <f t="shared" si="20"/>
        <v>274865</v>
      </c>
      <c r="AL9" s="234">
        <f>+AI9-AF9+AK9</f>
        <v>331592.6199999992</v>
      </c>
      <c r="AM9" s="237">
        <f>+смета!N20</f>
        <v>-80251.05999999992</v>
      </c>
      <c r="AO9" s="55">
        <f t="shared" si="21"/>
        <v>251341.55999999924</v>
      </c>
    </row>
    <row r="10" spans="1:41" ht="12.75">
      <c r="A10" s="155">
        <v>4</v>
      </c>
      <c r="B10" s="156" t="s">
        <v>132</v>
      </c>
      <c r="C10" s="166">
        <v>2</v>
      </c>
      <c r="D10" s="170">
        <f t="shared" si="0"/>
        <v>2987614.7</v>
      </c>
      <c r="E10" s="223">
        <v>1794948.7</v>
      </c>
      <c r="F10" s="230">
        <f>+'[1]смета'!$P$11</f>
        <v>1192666</v>
      </c>
      <c r="G10" s="226">
        <f t="shared" si="9"/>
        <v>2958843.67</v>
      </c>
      <c r="H10" s="156">
        <f>+'[1]смета'!$P$130</f>
        <v>2958843.67</v>
      </c>
      <c r="I10" s="158"/>
      <c r="J10" s="158">
        <f t="shared" si="1"/>
        <v>-28771.03000000026</v>
      </c>
      <c r="K10" s="177">
        <f t="shared" si="2"/>
        <v>2454394.89</v>
      </c>
      <c r="L10" s="157">
        <v>2163199.89</v>
      </c>
      <c r="M10" s="156">
        <f>+'[2]смета'!$P$11</f>
        <v>291195</v>
      </c>
      <c r="N10" s="156">
        <f t="shared" si="10"/>
        <v>2654449.19</v>
      </c>
      <c r="O10" s="156">
        <f>+'[2]смета'!$P$154</f>
        <v>2379584.19</v>
      </c>
      <c r="P10" s="158">
        <v>274865</v>
      </c>
      <c r="Q10" s="158">
        <f t="shared" si="3"/>
        <v>200054.2999999998</v>
      </c>
      <c r="R10" s="177">
        <f t="shared" si="4"/>
        <v>5442009.59</v>
      </c>
      <c r="S10" s="157">
        <f t="shared" si="11"/>
        <v>3958148.59</v>
      </c>
      <c r="T10" s="157">
        <f t="shared" si="12"/>
        <v>1483861</v>
      </c>
      <c r="U10" s="156">
        <f t="shared" si="13"/>
        <v>5613292.859999999</v>
      </c>
      <c r="V10" s="157">
        <f t="shared" si="12"/>
        <v>5338427.859999999</v>
      </c>
      <c r="W10" s="158">
        <f t="shared" si="14"/>
        <v>274865</v>
      </c>
      <c r="X10" s="158">
        <f t="shared" si="5"/>
        <v>171283.26999999955</v>
      </c>
      <c r="Y10" s="177">
        <f t="shared" si="6"/>
        <v>3523266.1</v>
      </c>
      <c r="Z10" s="157">
        <f>+смета!P10</f>
        <v>2021576.1</v>
      </c>
      <c r="AA10" s="156">
        <f>+смета!P11</f>
        <v>1501690</v>
      </c>
      <c r="AB10" s="156">
        <f t="shared" si="15"/>
        <v>3627745.39</v>
      </c>
      <c r="AC10" s="156">
        <f>+смета!P165</f>
        <v>3352880.39</v>
      </c>
      <c r="AD10" s="158">
        <f>+W10</f>
        <v>274865</v>
      </c>
      <c r="AE10" s="158">
        <f t="shared" si="7"/>
        <v>104479.29000000004</v>
      </c>
      <c r="AF10" s="177">
        <f t="shared" si="8"/>
        <v>8965275.69</v>
      </c>
      <c r="AG10" s="157">
        <f t="shared" si="16"/>
        <v>5979724.6899999995</v>
      </c>
      <c r="AH10" s="157">
        <f t="shared" si="17"/>
        <v>2985551</v>
      </c>
      <c r="AI10" s="156">
        <f t="shared" si="18"/>
        <v>8966173.25</v>
      </c>
      <c r="AJ10" s="157">
        <f t="shared" si="19"/>
        <v>8691308.25</v>
      </c>
      <c r="AK10" s="158">
        <f t="shared" si="20"/>
        <v>274865</v>
      </c>
      <c r="AL10" s="234">
        <f>+AI10-AF10+AK10</f>
        <v>275762.5600000005</v>
      </c>
      <c r="AM10" s="237">
        <f>+смета!Q20</f>
        <v>-179352.59</v>
      </c>
      <c r="AO10" s="55">
        <f t="shared" si="21"/>
        <v>96409.97000000053</v>
      </c>
    </row>
    <row r="11" spans="1:41" ht="12.75">
      <c r="A11" s="155">
        <v>5</v>
      </c>
      <c r="B11" s="156" t="s">
        <v>132</v>
      </c>
      <c r="C11" s="166">
        <v>8</v>
      </c>
      <c r="D11" s="170">
        <f t="shared" si="0"/>
        <v>2996104.37</v>
      </c>
      <c r="E11" s="223">
        <v>1475822.87</v>
      </c>
      <c r="F11" s="230">
        <f>+'[1]смета'!$S$11</f>
        <v>1520281.5</v>
      </c>
      <c r="G11" s="226">
        <f t="shared" si="9"/>
        <v>2969382.79</v>
      </c>
      <c r="H11" s="156">
        <f>+'[1]смета'!$S$130</f>
        <v>2969382.79</v>
      </c>
      <c r="I11" s="158"/>
      <c r="J11" s="158">
        <f t="shared" si="1"/>
        <v>-26721.580000000075</v>
      </c>
      <c r="K11" s="177">
        <f t="shared" si="2"/>
        <v>2707717.06</v>
      </c>
      <c r="L11" s="157">
        <v>1607479.06</v>
      </c>
      <c r="M11" s="156">
        <f>+'[2]смета'!$S$11</f>
        <v>1100238</v>
      </c>
      <c r="N11" s="156">
        <f t="shared" si="10"/>
        <v>3116255.6599999997</v>
      </c>
      <c r="O11" s="156">
        <f>+'[2]смета'!$S$154</f>
        <v>2841390.6599999997</v>
      </c>
      <c r="P11" s="158">
        <v>274865</v>
      </c>
      <c r="Q11" s="158">
        <f t="shared" si="3"/>
        <v>408538.5999999996</v>
      </c>
      <c r="R11" s="177">
        <f t="shared" si="4"/>
        <v>5703821.43</v>
      </c>
      <c r="S11" s="157">
        <f t="shared" si="11"/>
        <v>3083301.93</v>
      </c>
      <c r="T11" s="157">
        <f t="shared" si="12"/>
        <v>2620519.5</v>
      </c>
      <c r="U11" s="156">
        <f t="shared" si="13"/>
        <v>6085638.449999999</v>
      </c>
      <c r="V11" s="157">
        <f t="shared" si="12"/>
        <v>5810773.449999999</v>
      </c>
      <c r="W11" s="158">
        <f t="shared" si="14"/>
        <v>274865</v>
      </c>
      <c r="X11" s="158">
        <f t="shared" si="5"/>
        <v>381817.01999999955</v>
      </c>
      <c r="Y11" s="177">
        <f t="shared" si="6"/>
        <v>1519270.92</v>
      </c>
      <c r="Z11" s="157">
        <f>+смета!S10</f>
        <v>1519270.92</v>
      </c>
      <c r="AA11" s="156">
        <f>+смета!S11</f>
        <v>0</v>
      </c>
      <c r="AB11" s="156">
        <f t="shared" si="15"/>
        <v>1762111.27</v>
      </c>
      <c r="AC11" s="156">
        <f>+смета!S165</f>
        <v>1762111.27</v>
      </c>
      <c r="AD11" s="158"/>
      <c r="AE11" s="158">
        <f t="shared" si="7"/>
        <v>242840.3500000001</v>
      </c>
      <c r="AF11" s="177">
        <f t="shared" si="8"/>
        <v>7223092.35</v>
      </c>
      <c r="AG11" s="157">
        <f t="shared" si="16"/>
        <v>4602572.85</v>
      </c>
      <c r="AH11" s="157">
        <f t="shared" si="17"/>
        <v>2620519.5</v>
      </c>
      <c r="AI11" s="156">
        <f t="shared" si="18"/>
        <v>7572884.719999999</v>
      </c>
      <c r="AJ11" s="157">
        <f t="shared" si="19"/>
        <v>7572884.719999999</v>
      </c>
      <c r="AK11" s="158">
        <f t="shared" si="20"/>
        <v>0</v>
      </c>
      <c r="AL11" s="234">
        <f>+AI11-AF11+AK11</f>
        <v>349792.3699999992</v>
      </c>
      <c r="AM11" s="237">
        <f>+смета!T20</f>
        <v>-44010.73999999998</v>
      </c>
      <c r="AO11" s="55">
        <f t="shared" si="21"/>
        <v>305781.6299999992</v>
      </c>
    </row>
    <row r="12" spans="1:41" ht="12.75">
      <c r="A12" s="155">
        <v>6</v>
      </c>
      <c r="B12" s="156" t="s">
        <v>132</v>
      </c>
      <c r="C12" s="166">
        <v>10</v>
      </c>
      <c r="D12" s="170">
        <f t="shared" si="0"/>
        <v>2931206.75</v>
      </c>
      <c r="E12" s="223">
        <v>1465393.25</v>
      </c>
      <c r="F12" s="230">
        <f>+'[1]смета'!$V$11</f>
        <v>1465813.5</v>
      </c>
      <c r="G12" s="226">
        <f t="shared" si="9"/>
        <v>2927949.76</v>
      </c>
      <c r="H12" s="156">
        <f>+'[1]смета'!$V$130</f>
        <v>2927949.76</v>
      </c>
      <c r="I12" s="158"/>
      <c r="J12" s="158">
        <f t="shared" si="1"/>
        <v>-3256.9900000002235</v>
      </c>
      <c r="K12" s="177">
        <f t="shared" si="2"/>
        <v>1709994.17</v>
      </c>
      <c r="L12" s="157">
        <v>1698632.17</v>
      </c>
      <c r="M12" s="156">
        <f>+'[2]смета'!$V$11</f>
        <v>11362</v>
      </c>
      <c r="N12" s="156">
        <f t="shared" si="10"/>
        <v>1618046.7599999998</v>
      </c>
      <c r="O12" s="156">
        <f>+'[2]смета'!$V$154</f>
        <v>1618046.7599999998</v>
      </c>
      <c r="P12" s="158"/>
      <c r="Q12" s="158">
        <f t="shared" si="3"/>
        <v>-91947.41000000015</v>
      </c>
      <c r="R12" s="177">
        <f t="shared" si="4"/>
        <v>4641200.92</v>
      </c>
      <c r="S12" s="157">
        <f t="shared" si="11"/>
        <v>3164025.42</v>
      </c>
      <c r="T12" s="157">
        <f t="shared" si="12"/>
        <v>1477175.5</v>
      </c>
      <c r="U12" s="156">
        <f t="shared" si="13"/>
        <v>4545996.52</v>
      </c>
      <c r="V12" s="157">
        <f t="shared" si="12"/>
        <v>4545996.52</v>
      </c>
      <c r="W12" s="158">
        <f t="shared" si="14"/>
        <v>0</v>
      </c>
      <c r="X12" s="158">
        <f t="shared" si="5"/>
        <v>-95204.40000000037</v>
      </c>
      <c r="Y12" s="177">
        <f t="shared" si="6"/>
        <v>2913688.31</v>
      </c>
      <c r="Z12" s="157">
        <f>+смета!V10</f>
        <v>1901676.31</v>
      </c>
      <c r="AA12" s="156">
        <f>+смета!V11</f>
        <v>1012012</v>
      </c>
      <c r="AB12" s="156">
        <f t="shared" si="15"/>
        <v>2937051.6900000004</v>
      </c>
      <c r="AC12" s="156">
        <f>+смета!V165</f>
        <v>2746364.6900000004</v>
      </c>
      <c r="AD12" s="158">
        <v>190687</v>
      </c>
      <c r="AE12" s="158">
        <f t="shared" si="7"/>
        <v>23363.380000000354</v>
      </c>
      <c r="AF12" s="177">
        <f t="shared" si="8"/>
        <v>7554889.23</v>
      </c>
      <c r="AG12" s="157">
        <f t="shared" si="16"/>
        <v>5065701.73</v>
      </c>
      <c r="AH12" s="157">
        <f t="shared" si="17"/>
        <v>2489187.5</v>
      </c>
      <c r="AI12" s="156">
        <f t="shared" si="18"/>
        <v>7483048.21</v>
      </c>
      <c r="AJ12" s="157">
        <f t="shared" si="19"/>
        <v>7292361.21</v>
      </c>
      <c r="AK12" s="158">
        <f t="shared" si="20"/>
        <v>190687</v>
      </c>
      <c r="AL12" s="234">
        <f>+AI12-AF12+AK12</f>
        <v>118845.97999999952</v>
      </c>
      <c r="AM12" s="237">
        <f>+смета!W20</f>
        <v>17989.640000000094</v>
      </c>
      <c r="AO12" s="55">
        <f t="shared" si="21"/>
        <v>136835.61999999962</v>
      </c>
    </row>
    <row r="13" spans="1:41" ht="12.75">
      <c r="A13" s="155">
        <v>7</v>
      </c>
      <c r="B13" s="156" t="s">
        <v>132</v>
      </c>
      <c r="C13" s="166">
        <v>12</v>
      </c>
      <c r="D13" s="170">
        <f t="shared" si="0"/>
        <v>3591143.36</v>
      </c>
      <c r="E13" s="223">
        <v>2440630.36</v>
      </c>
      <c r="F13" s="230">
        <f>+'[1]смета'!$Y$11</f>
        <v>1150513</v>
      </c>
      <c r="G13" s="226">
        <f t="shared" si="9"/>
        <v>3590476.32</v>
      </c>
      <c r="H13" s="156">
        <f>+'[1]смета'!$Y$130</f>
        <v>3590476.32</v>
      </c>
      <c r="I13" s="158"/>
      <c r="J13" s="178">
        <f t="shared" si="1"/>
        <v>-667.0400000000373</v>
      </c>
      <c r="K13" s="177">
        <f t="shared" si="2"/>
        <v>2871173.78</v>
      </c>
      <c r="L13" s="156">
        <v>2585038.78</v>
      </c>
      <c r="M13" s="156">
        <f>+'[2]смета'!$Y$11</f>
        <v>286135</v>
      </c>
      <c r="N13" s="156">
        <f t="shared" si="10"/>
        <v>3019535.12</v>
      </c>
      <c r="O13" s="156">
        <f>+'[2]смета'!$Y$154</f>
        <v>2744670.12</v>
      </c>
      <c r="P13" s="158">
        <v>274865</v>
      </c>
      <c r="Q13" s="178">
        <f t="shared" si="3"/>
        <v>148361.34000000032</v>
      </c>
      <c r="R13" s="177">
        <f t="shared" si="4"/>
        <v>6462317.14</v>
      </c>
      <c r="S13" s="157">
        <f t="shared" si="11"/>
        <v>5025669.14</v>
      </c>
      <c r="T13" s="157">
        <f t="shared" si="12"/>
        <v>1436648</v>
      </c>
      <c r="U13" s="156">
        <f t="shared" si="13"/>
        <v>6610011.4399999995</v>
      </c>
      <c r="V13" s="157">
        <f t="shared" si="12"/>
        <v>6335146.4399999995</v>
      </c>
      <c r="W13" s="158">
        <f t="shared" si="14"/>
        <v>274865</v>
      </c>
      <c r="X13" s="178">
        <f t="shared" si="5"/>
        <v>147694.2999999998</v>
      </c>
      <c r="Y13" s="177">
        <f t="shared" si="6"/>
        <v>2456618.32</v>
      </c>
      <c r="Z13" s="156">
        <f>+смета!Y10</f>
        <v>2456618.32</v>
      </c>
      <c r="AA13" s="156">
        <f>+смета!Y11</f>
        <v>0</v>
      </c>
      <c r="AB13" s="156">
        <f t="shared" si="15"/>
        <v>2519839.55</v>
      </c>
      <c r="AC13" s="156">
        <f>+смета!Y165</f>
        <v>2519839.55</v>
      </c>
      <c r="AD13" s="158"/>
      <c r="AE13" s="178">
        <f t="shared" si="7"/>
        <v>63221.22999999998</v>
      </c>
      <c r="AF13" s="177">
        <f t="shared" si="8"/>
        <v>8918935.459999999</v>
      </c>
      <c r="AG13" s="157">
        <f t="shared" si="16"/>
        <v>7482287.459999999</v>
      </c>
      <c r="AH13" s="157">
        <f t="shared" si="17"/>
        <v>1436648</v>
      </c>
      <c r="AI13" s="156">
        <f t="shared" si="18"/>
        <v>8854985.989999998</v>
      </c>
      <c r="AJ13" s="157">
        <f t="shared" si="19"/>
        <v>8854985.989999998</v>
      </c>
      <c r="AK13" s="158">
        <f t="shared" si="20"/>
        <v>0</v>
      </c>
      <c r="AL13" s="234">
        <f>+AI13-AF13+AK13</f>
        <v>-63949.47000000067</v>
      </c>
      <c r="AM13" s="237">
        <f>+смета!Z20</f>
        <v>-145785.50000000038</v>
      </c>
      <c r="AO13" s="55">
        <f t="shared" si="21"/>
        <v>-209734.97000000105</v>
      </c>
    </row>
    <row r="14" spans="1:39" ht="12.75">
      <c r="A14" s="155"/>
      <c r="B14" s="156"/>
      <c r="C14" s="167"/>
      <c r="D14" s="159"/>
      <c r="E14" s="224"/>
      <c r="F14" s="230"/>
      <c r="G14" s="226">
        <f t="shared" si="9"/>
        <v>0</v>
      </c>
      <c r="H14" s="156"/>
      <c r="I14" s="158"/>
      <c r="J14" s="154"/>
      <c r="K14" s="159"/>
      <c r="L14" s="156"/>
      <c r="M14" s="156"/>
      <c r="N14" s="156">
        <f t="shared" si="10"/>
        <v>0</v>
      </c>
      <c r="O14" s="156"/>
      <c r="P14" s="158"/>
      <c r="Q14" s="154"/>
      <c r="R14" s="159"/>
      <c r="S14" s="156"/>
      <c r="T14" s="156"/>
      <c r="U14" s="156">
        <f t="shared" si="13"/>
        <v>0</v>
      </c>
      <c r="V14" s="156"/>
      <c r="W14" s="158"/>
      <c r="X14" s="154"/>
      <c r="Y14" s="159"/>
      <c r="Z14" s="156"/>
      <c r="AA14" s="156"/>
      <c r="AB14" s="156">
        <f t="shared" si="15"/>
        <v>0</v>
      </c>
      <c r="AC14" s="156"/>
      <c r="AD14" s="158"/>
      <c r="AE14" s="154"/>
      <c r="AF14" s="159"/>
      <c r="AG14" s="156"/>
      <c r="AH14" s="156"/>
      <c r="AI14" s="156">
        <f t="shared" si="18"/>
        <v>0</v>
      </c>
      <c r="AJ14" s="156"/>
      <c r="AK14" s="158"/>
      <c r="AL14" s="235"/>
      <c r="AM14" s="237"/>
    </row>
    <row r="15" spans="1:41" s="1" customFormat="1" ht="13.5" thickBot="1">
      <c r="A15" s="160"/>
      <c r="B15" s="161" t="s">
        <v>102</v>
      </c>
      <c r="C15" s="168"/>
      <c r="D15" s="171">
        <f aca="true" t="shared" si="22" ref="D15:X15">SUM(D7:D14)</f>
        <v>29734422.94</v>
      </c>
      <c r="E15" s="162">
        <f t="shared" si="22"/>
        <v>21230184.94</v>
      </c>
      <c r="F15" s="231">
        <f t="shared" si="22"/>
        <v>8504238</v>
      </c>
      <c r="G15" s="227">
        <f t="shared" si="22"/>
        <v>30107041.17</v>
      </c>
      <c r="H15" s="162">
        <f t="shared" si="22"/>
        <v>29260249.17</v>
      </c>
      <c r="I15" s="162">
        <f t="shared" si="22"/>
        <v>846792</v>
      </c>
      <c r="J15" s="162">
        <f t="shared" si="22"/>
        <v>372618.22999999905</v>
      </c>
      <c r="K15" s="171">
        <f t="shared" si="22"/>
        <v>29006276.1</v>
      </c>
      <c r="L15" s="162">
        <f t="shared" si="22"/>
        <v>23435336.6</v>
      </c>
      <c r="M15" s="162">
        <f t="shared" si="22"/>
        <v>5570939.5</v>
      </c>
      <c r="N15" s="162">
        <f t="shared" si="22"/>
        <v>30355368.142</v>
      </c>
      <c r="O15" s="162">
        <f t="shared" si="22"/>
        <v>28799116.142</v>
      </c>
      <c r="P15" s="162">
        <f t="shared" si="22"/>
        <v>1556252</v>
      </c>
      <c r="Q15" s="162">
        <f t="shared" si="22"/>
        <v>1349092.0419999985</v>
      </c>
      <c r="R15" s="171">
        <f t="shared" si="22"/>
        <v>58740699.04</v>
      </c>
      <c r="S15" s="162">
        <f t="shared" si="22"/>
        <v>44665521.54000001</v>
      </c>
      <c r="T15" s="162">
        <f t="shared" si="22"/>
        <v>14075177.5</v>
      </c>
      <c r="U15" s="162">
        <f t="shared" si="22"/>
        <v>59615617.31199999</v>
      </c>
      <c r="V15" s="162">
        <f t="shared" si="22"/>
        <v>58059365.31199999</v>
      </c>
      <c r="W15" s="162">
        <f t="shared" si="22"/>
        <v>1556252</v>
      </c>
      <c r="X15" s="162">
        <f t="shared" si="22"/>
        <v>874918.2719999971</v>
      </c>
      <c r="Y15" s="171">
        <f aca="true" t="shared" si="23" ref="Y15:AO15">SUM(Y7:Y14)</f>
        <v>26492593.180000003</v>
      </c>
      <c r="Z15" s="162">
        <f t="shared" si="23"/>
        <v>23268760.180000003</v>
      </c>
      <c r="AA15" s="162">
        <f t="shared" si="23"/>
        <v>3223833</v>
      </c>
      <c r="AB15" s="162">
        <f t="shared" si="23"/>
        <v>27249039.17</v>
      </c>
      <c r="AC15" s="162">
        <f t="shared" si="23"/>
        <v>26508622.17</v>
      </c>
      <c r="AD15" s="162">
        <f t="shared" si="23"/>
        <v>740417</v>
      </c>
      <c r="AE15" s="162">
        <f t="shared" si="23"/>
        <v>756445.9900000021</v>
      </c>
      <c r="AF15" s="171">
        <f t="shared" si="23"/>
        <v>85233292.22</v>
      </c>
      <c r="AG15" s="162">
        <f t="shared" si="23"/>
        <v>67934281.72</v>
      </c>
      <c r="AH15" s="162">
        <f t="shared" si="23"/>
        <v>17299010.5</v>
      </c>
      <c r="AI15" s="162">
        <f t="shared" si="23"/>
        <v>85308404.482</v>
      </c>
      <c r="AJ15" s="162">
        <f t="shared" si="23"/>
        <v>84567987.482</v>
      </c>
      <c r="AK15" s="162">
        <f t="shared" si="23"/>
        <v>740417</v>
      </c>
      <c r="AL15" s="236">
        <f t="shared" si="23"/>
        <v>815529.2619999954</v>
      </c>
      <c r="AM15" s="238">
        <f t="shared" si="23"/>
        <v>-748329.0200000005</v>
      </c>
      <c r="AO15" s="238">
        <f t="shared" si="23"/>
        <v>67200.24199999499</v>
      </c>
    </row>
  </sheetData>
  <sheetProtection/>
  <mergeCells count="21">
    <mergeCell ref="A4:A6"/>
    <mergeCell ref="B4:B6"/>
    <mergeCell ref="C4:C6"/>
    <mergeCell ref="K5:K6"/>
    <mergeCell ref="D4:J4"/>
    <mergeCell ref="K4:Q4"/>
    <mergeCell ref="N5:N6"/>
    <mergeCell ref="R5:R6"/>
    <mergeCell ref="U5:U6"/>
    <mergeCell ref="R4:X4"/>
    <mergeCell ref="D5:D6"/>
    <mergeCell ref="G5:G6"/>
    <mergeCell ref="H5:I5"/>
    <mergeCell ref="J5:J6"/>
    <mergeCell ref="AM4:AM6"/>
    <mergeCell ref="Y4:AE4"/>
    <mergeCell ref="Y5:Y6"/>
    <mergeCell ref="AB5:AB6"/>
    <mergeCell ref="AF4:AL4"/>
    <mergeCell ref="AF5:AF6"/>
    <mergeCell ref="AI5:AI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8"/>
  <sheetViews>
    <sheetView zoomScalePageLayoutView="0" workbookViewId="0" topLeftCell="A1">
      <pane xSplit="2" ySplit="5" topLeftCell="C14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89" sqref="A189:IV202"/>
    </sheetView>
  </sheetViews>
  <sheetFormatPr defaultColWidth="9.140625" defaultRowHeight="12.75" outlineLevelRow="2" outlineLevelCol="2"/>
  <cols>
    <col min="1" max="1" width="5.57421875" style="3" customWidth="1"/>
    <col min="2" max="2" width="34.00390625" style="2" customWidth="1"/>
    <col min="3" max="3" width="20.7109375" style="56" customWidth="1" outlineLevel="2"/>
    <col min="4" max="4" width="17.7109375" style="1" customWidth="1" outlineLevel="2"/>
    <col min="5" max="5" width="17.7109375" style="6" customWidth="1" outlineLevel="2"/>
    <col min="6" max="6" width="12.7109375" style="2" customWidth="1" outlineLevel="1"/>
    <col min="7" max="7" width="13.57421875" style="2" customWidth="1" outlineLevel="1"/>
    <col min="8" max="8" width="15.8515625" style="2" customWidth="1" outlineLevel="1"/>
    <col min="9" max="9" width="12.7109375" style="2" customWidth="1" outlineLevel="1" collapsed="1"/>
    <col min="10" max="10" width="12.7109375" style="2" customWidth="1" outlineLevel="1"/>
    <col min="11" max="11" width="15.8515625" style="2" customWidth="1" outlineLevel="2"/>
    <col min="12" max="13" width="12.28125" style="2" customWidth="1"/>
    <col min="14" max="14" width="13.28125" style="2" customWidth="1"/>
    <col min="15" max="16" width="13.421875" style="2" customWidth="1"/>
    <col min="17" max="17" width="13.421875" style="2" customWidth="1" outlineLevel="1"/>
    <col min="18" max="19" width="12.7109375" style="2" customWidth="1" outlineLevel="1"/>
    <col min="20" max="20" width="12.7109375" style="2" customWidth="1" outlineLevel="2"/>
    <col min="21" max="22" width="14.57421875" style="2" customWidth="1" outlineLevel="1"/>
    <col min="23" max="23" width="14.57421875" style="2" customWidth="1" outlineLevel="2"/>
    <col min="24" max="24" width="13.140625" style="2" customWidth="1"/>
    <col min="25" max="25" width="11.7109375" style="2" customWidth="1"/>
    <col min="26" max="26" width="11.57421875" style="2" customWidth="1" outlineLevel="1"/>
    <col min="27" max="27" width="9.140625" style="2" customWidth="1"/>
    <col min="28" max="28" width="9.57421875" style="2" bestFit="1" customWidth="1"/>
    <col min="29" max="16384" width="9.140625" style="2" customWidth="1"/>
  </cols>
  <sheetData>
    <row r="1" ht="18.75">
      <c r="A1" s="4" t="s">
        <v>137</v>
      </c>
    </row>
    <row r="2" spans="7:9" ht="13.5">
      <c r="G2" s="50"/>
      <c r="H2" s="55"/>
      <c r="I2" s="50"/>
    </row>
    <row r="3" spans="1:13" s="1" customFormat="1" ht="19.5" outlineLevel="1" thickBot="1">
      <c r="A3" s="5" t="s">
        <v>14</v>
      </c>
      <c r="C3" s="57"/>
      <c r="D3" s="216"/>
      <c r="E3" s="6"/>
      <c r="F3" s="49"/>
      <c r="M3" s="1">
        <v>283972</v>
      </c>
    </row>
    <row r="4" spans="1:26" ht="12.75" customHeight="1" outlineLevel="1">
      <c r="A4" s="281" t="s">
        <v>74</v>
      </c>
      <c r="B4" s="266" t="s">
        <v>73</v>
      </c>
      <c r="C4" s="286" t="s">
        <v>138</v>
      </c>
      <c r="D4" s="286"/>
      <c r="E4" s="287" t="s">
        <v>71</v>
      </c>
      <c r="F4" s="263" t="s">
        <v>17</v>
      </c>
      <c r="G4" s="254"/>
      <c r="H4" s="289"/>
      <c r="I4" s="284" t="s">
        <v>18</v>
      </c>
      <c r="J4" s="254"/>
      <c r="K4" s="259"/>
      <c r="L4" s="281" t="s">
        <v>19</v>
      </c>
      <c r="M4" s="266"/>
      <c r="N4" s="282"/>
      <c r="O4" s="283" t="s">
        <v>20</v>
      </c>
      <c r="P4" s="266"/>
      <c r="Q4" s="269"/>
      <c r="R4" s="281" t="s">
        <v>21</v>
      </c>
      <c r="S4" s="266"/>
      <c r="T4" s="282"/>
      <c r="U4" s="283" t="s">
        <v>22</v>
      </c>
      <c r="V4" s="266"/>
      <c r="W4" s="269"/>
      <c r="X4" s="281" t="s">
        <v>23</v>
      </c>
      <c r="Y4" s="266"/>
      <c r="Z4" s="282"/>
    </row>
    <row r="5" spans="1:26" ht="31.5" customHeight="1" outlineLevel="1" thickBot="1">
      <c r="A5" s="285"/>
      <c r="B5" s="268"/>
      <c r="C5" s="58" t="s">
        <v>15</v>
      </c>
      <c r="D5" s="22" t="s">
        <v>0</v>
      </c>
      <c r="E5" s="288"/>
      <c r="F5" s="27" t="s">
        <v>26</v>
      </c>
      <c r="G5" s="23" t="s">
        <v>34</v>
      </c>
      <c r="H5" s="24" t="s">
        <v>25</v>
      </c>
      <c r="I5" s="38" t="s">
        <v>26</v>
      </c>
      <c r="J5" s="23" t="s">
        <v>34</v>
      </c>
      <c r="K5" s="25" t="s">
        <v>25</v>
      </c>
      <c r="L5" s="27" t="s">
        <v>26</v>
      </c>
      <c r="M5" s="23" t="s">
        <v>34</v>
      </c>
      <c r="N5" s="24" t="s">
        <v>25</v>
      </c>
      <c r="O5" s="38" t="s">
        <v>26</v>
      </c>
      <c r="P5" s="23" t="s">
        <v>34</v>
      </c>
      <c r="Q5" s="25" t="s">
        <v>25</v>
      </c>
      <c r="R5" s="27" t="s">
        <v>26</v>
      </c>
      <c r="S5" s="23" t="s">
        <v>34</v>
      </c>
      <c r="T5" s="24" t="s">
        <v>25</v>
      </c>
      <c r="U5" s="38" t="s">
        <v>26</v>
      </c>
      <c r="V5" s="23" t="s">
        <v>34</v>
      </c>
      <c r="W5" s="25" t="s">
        <v>25</v>
      </c>
      <c r="X5" s="27" t="s">
        <v>26</v>
      </c>
      <c r="Y5" s="23" t="s">
        <v>34</v>
      </c>
      <c r="Z5" s="24" t="s">
        <v>25</v>
      </c>
    </row>
    <row r="6" spans="1:26" ht="13.5" outlineLevel="1">
      <c r="A6" s="21"/>
      <c r="B6" s="13"/>
      <c r="C6" s="59"/>
      <c r="D6" s="17"/>
      <c r="E6" s="114"/>
      <c r="F6" s="12"/>
      <c r="G6" s="13"/>
      <c r="H6" s="14"/>
      <c r="I6" s="15"/>
      <c r="J6" s="13"/>
      <c r="K6" s="26"/>
      <c r="L6" s="12"/>
      <c r="M6" s="13"/>
      <c r="N6" s="14"/>
      <c r="O6" s="15"/>
      <c r="P6" s="13"/>
      <c r="Q6" s="26"/>
      <c r="R6" s="12"/>
      <c r="S6" s="13"/>
      <c r="T6" s="14"/>
      <c r="U6" s="15"/>
      <c r="V6" s="13"/>
      <c r="W6" s="26"/>
      <c r="X6" s="12"/>
      <c r="Y6" s="13"/>
      <c r="Z6" s="14"/>
    </row>
    <row r="7" spans="1:26" ht="13.5" outlineLevel="1">
      <c r="A7" s="21" t="s">
        <v>123</v>
      </c>
      <c r="B7" s="13"/>
      <c r="C7" s="60">
        <f>+F7+I7+L7+O7+R7+U7+X7</f>
        <v>2042.6000000000001</v>
      </c>
      <c r="D7" s="54"/>
      <c r="E7" s="114"/>
      <c r="F7" s="12">
        <v>785.1</v>
      </c>
      <c r="G7" s="13"/>
      <c r="H7" s="14"/>
      <c r="I7" s="15">
        <v>263.9</v>
      </c>
      <c r="J7" s="13"/>
      <c r="K7" s="26"/>
      <c r="L7" s="12">
        <v>370.4</v>
      </c>
      <c r="M7" s="13"/>
      <c r="N7" s="14"/>
      <c r="O7" s="15">
        <v>181.9</v>
      </c>
      <c r="P7" s="13"/>
      <c r="Q7" s="26"/>
      <c r="R7" s="12">
        <v>127.6</v>
      </c>
      <c r="S7" s="13"/>
      <c r="T7" s="14"/>
      <c r="U7" s="15">
        <v>124.3</v>
      </c>
      <c r="V7" s="13"/>
      <c r="W7" s="26"/>
      <c r="X7" s="12">
        <v>189.4</v>
      </c>
      <c r="Y7" s="13"/>
      <c r="Z7" s="14"/>
    </row>
    <row r="8" spans="1:26" s="1" customFormat="1" ht="18.75" outlineLevel="2">
      <c r="A8" s="28" t="s">
        <v>38</v>
      </c>
      <c r="B8" s="17"/>
      <c r="C8" s="60">
        <f>+F8+I8+L8+O8+R8+U8+X8</f>
        <v>19109.8</v>
      </c>
      <c r="D8" s="54"/>
      <c r="E8" s="18">
        <f>ROUND(D10/C10,2)</f>
        <v>0.99</v>
      </c>
      <c r="F8" s="16">
        <v>6093.6</v>
      </c>
      <c r="G8" s="17"/>
      <c r="H8" s="18">
        <f>ROUND(G10/F10,2)</f>
        <v>1.02</v>
      </c>
      <c r="I8" s="36">
        <v>1978.6</v>
      </c>
      <c r="J8" s="17"/>
      <c r="K8" s="18">
        <f>ROUND(J10/I10,2)</f>
        <v>1.01</v>
      </c>
      <c r="L8" s="16">
        <v>4368.7</v>
      </c>
      <c r="M8" s="17"/>
      <c r="N8" s="18">
        <f>ROUND(M10/L10,2)</f>
        <v>0.97</v>
      </c>
      <c r="O8" s="36">
        <v>2055.4</v>
      </c>
      <c r="P8" s="17"/>
      <c r="Q8" s="18">
        <f>ROUND(P10/O10,2)</f>
        <v>0.93</v>
      </c>
      <c r="R8" s="16">
        <v>1282.4</v>
      </c>
      <c r="S8" s="17"/>
      <c r="T8" s="69">
        <f>ROUND(S10/R10,2)</f>
        <v>0.97</v>
      </c>
      <c r="U8" s="36">
        <v>1280.8</v>
      </c>
      <c r="V8" s="17"/>
      <c r="W8" s="69">
        <f>ROUND(V10/U10,2)</f>
        <v>1.01</v>
      </c>
      <c r="X8" s="16">
        <v>2050.3</v>
      </c>
      <c r="Y8" s="17"/>
      <c r="Z8" s="69">
        <f>ROUND(Y10/X10,2)</f>
        <v>0.99</v>
      </c>
    </row>
    <row r="9" spans="1:26" s="126" customFormat="1" ht="13.5" outlineLevel="1">
      <c r="A9" s="179">
        <v>1</v>
      </c>
      <c r="B9" s="48" t="s">
        <v>139</v>
      </c>
      <c r="C9" s="118"/>
      <c r="D9" s="51"/>
      <c r="E9" s="180">
        <v>-623917.71</v>
      </c>
      <c r="F9" s="47"/>
      <c r="G9" s="48">
        <v>-419121.94</v>
      </c>
      <c r="H9" s="181">
        <f>+G9-F9</f>
        <v>-419121.94</v>
      </c>
      <c r="I9" s="182"/>
      <c r="J9" s="48">
        <v>-67049.99</v>
      </c>
      <c r="K9" s="183">
        <f>+J9-I9</f>
        <v>-67049.99</v>
      </c>
      <c r="L9" s="47"/>
      <c r="M9" s="48">
        <v>40550.11</v>
      </c>
      <c r="N9" s="181">
        <f>+M9-L9</f>
        <v>40550.11</v>
      </c>
      <c r="O9" s="182"/>
      <c r="P9" s="48">
        <v>-37415.59</v>
      </c>
      <c r="Q9" s="183">
        <f>+P9-O9</f>
        <v>-37415.59</v>
      </c>
      <c r="R9" s="47"/>
      <c r="S9" s="48">
        <v>-1283.01</v>
      </c>
      <c r="T9" s="181">
        <f>+S9-R9</f>
        <v>-1283.01</v>
      </c>
      <c r="U9" s="182"/>
      <c r="V9" s="48">
        <v>-8173.46</v>
      </c>
      <c r="W9" s="183">
        <f>+V9-U9</f>
        <v>-8173.46</v>
      </c>
      <c r="X9" s="47"/>
      <c r="Y9" s="48">
        <v>-131423.83</v>
      </c>
      <c r="Z9" s="181">
        <f>+Y9-X9</f>
        <v>-131423.83</v>
      </c>
    </row>
    <row r="10" spans="1:26" ht="25.5" outlineLevel="1">
      <c r="A10" s="21">
        <v>2</v>
      </c>
      <c r="B10" s="29" t="s">
        <v>24</v>
      </c>
      <c r="C10" s="61">
        <f>+F10+I10+L10+O10+R10+U10+X10</f>
        <v>23393171.490000002</v>
      </c>
      <c r="D10" s="51">
        <f>+G10+J10+M10+P10+S10+V10+Y10</f>
        <v>23268760.180000003</v>
      </c>
      <c r="E10" s="114">
        <f>+D10-C10</f>
        <v>-124411.30999999866</v>
      </c>
      <c r="F10" s="47">
        <v>8040821.98</v>
      </c>
      <c r="G10" s="48">
        <v>8191198.67</v>
      </c>
      <c r="H10" s="14">
        <f>+G10-F10</f>
        <v>150376.68999999948</v>
      </c>
      <c r="I10" s="15">
        <v>2662795.07</v>
      </c>
      <c r="J10" s="13">
        <v>2681671.54</v>
      </c>
      <c r="K10" s="26">
        <f>+J10-I10</f>
        <v>18876.470000000205</v>
      </c>
      <c r="L10" s="12">
        <v>4617549.49</v>
      </c>
      <c r="M10" s="13">
        <f>4496748.32</f>
        <v>4496748.32</v>
      </c>
      <c r="N10" s="14">
        <f>+M10-L10</f>
        <v>-120801.16999999993</v>
      </c>
      <c r="O10" s="15">
        <v>2163513.1</v>
      </c>
      <c r="P10" s="13">
        <v>2021576.1</v>
      </c>
      <c r="Q10" s="26">
        <f>+P10-O10</f>
        <v>-141937</v>
      </c>
      <c r="R10" s="12">
        <v>1561998.65</v>
      </c>
      <c r="S10" s="13">
        <v>1519270.92</v>
      </c>
      <c r="T10" s="14">
        <f>+S10-R10</f>
        <v>-42727.72999999998</v>
      </c>
      <c r="U10" s="15">
        <v>1875513.21</v>
      </c>
      <c r="V10" s="13">
        <v>1901676.31</v>
      </c>
      <c r="W10" s="26">
        <f>+V10-U10</f>
        <v>26163.100000000093</v>
      </c>
      <c r="X10" s="12">
        <v>2470979.99</v>
      </c>
      <c r="Y10" s="13">
        <v>2456618.32</v>
      </c>
      <c r="Z10" s="14">
        <f>+Y10-X10</f>
        <v>-14361.670000000391</v>
      </c>
    </row>
    <row r="11" spans="1:26" ht="38.25" outlineLevel="1">
      <c r="A11" s="21">
        <v>3</v>
      </c>
      <c r="B11" s="29" t="s">
        <v>16</v>
      </c>
      <c r="C11" s="61">
        <f>+F11+I11+L11+O11+R11+U11+X11</f>
        <v>3223833</v>
      </c>
      <c r="D11" s="51">
        <f>+G11+J11+M11+P11+S11+V11+Y11</f>
        <v>3223833</v>
      </c>
      <c r="E11" s="114">
        <f aca="true" t="shared" si="0" ref="E11:E18">+D11-C11</f>
        <v>0</v>
      </c>
      <c r="F11" s="12">
        <f>SUM(F13:F18)</f>
        <v>186760</v>
      </c>
      <c r="G11" s="13">
        <f aca="true" t="shared" si="1" ref="G11:Z11">SUM(G13:G18)</f>
        <v>186760</v>
      </c>
      <c r="H11" s="14">
        <f>SUM(H13:H18)</f>
        <v>0</v>
      </c>
      <c r="I11" s="15">
        <f t="shared" si="1"/>
        <v>0</v>
      </c>
      <c r="J11" s="13">
        <f t="shared" si="1"/>
        <v>0</v>
      </c>
      <c r="K11" s="26">
        <f>SUM(K13:K18)</f>
        <v>0</v>
      </c>
      <c r="L11" s="12">
        <f t="shared" si="1"/>
        <v>523371</v>
      </c>
      <c r="M11" s="13">
        <f t="shared" si="1"/>
        <v>523371</v>
      </c>
      <c r="N11" s="14">
        <f>SUM(N13:N18)</f>
        <v>0</v>
      </c>
      <c r="O11" s="15">
        <f t="shared" si="1"/>
        <v>1501690</v>
      </c>
      <c r="P11" s="13">
        <f t="shared" si="1"/>
        <v>1501690</v>
      </c>
      <c r="Q11" s="26">
        <f>SUM(Q13:Q18)</f>
        <v>0</v>
      </c>
      <c r="R11" s="12">
        <f t="shared" si="1"/>
        <v>0</v>
      </c>
      <c r="S11" s="13">
        <f t="shared" si="1"/>
        <v>0</v>
      </c>
      <c r="T11" s="14">
        <f>SUM(T13:T18)</f>
        <v>0</v>
      </c>
      <c r="U11" s="15">
        <f t="shared" si="1"/>
        <v>1012012</v>
      </c>
      <c r="V11" s="13">
        <f t="shared" si="1"/>
        <v>1012012</v>
      </c>
      <c r="W11" s="26">
        <f>SUM(W13:W18)</f>
        <v>0</v>
      </c>
      <c r="X11" s="12">
        <f t="shared" si="1"/>
        <v>0</v>
      </c>
      <c r="Y11" s="13">
        <f t="shared" si="1"/>
        <v>0</v>
      </c>
      <c r="Z11" s="14">
        <f t="shared" si="1"/>
        <v>0</v>
      </c>
    </row>
    <row r="12" spans="1:26" ht="13.5" outlineLevel="1">
      <c r="A12" s="21"/>
      <c r="B12" s="29" t="s">
        <v>103</v>
      </c>
      <c r="C12" s="61"/>
      <c r="D12" s="51"/>
      <c r="E12" s="114">
        <f t="shared" si="0"/>
        <v>0</v>
      </c>
      <c r="F12" s="12"/>
      <c r="G12" s="13"/>
      <c r="H12" s="14">
        <f aca="true" t="shared" si="2" ref="H12:H19">+G12-F12</f>
        <v>0</v>
      </c>
      <c r="I12" s="15"/>
      <c r="J12" s="13"/>
      <c r="K12" s="26">
        <f>+J12-I12</f>
        <v>0</v>
      </c>
      <c r="L12" s="12"/>
      <c r="M12" s="13"/>
      <c r="N12" s="14">
        <f aca="true" t="shared" si="3" ref="N12:N19">+M12-L12</f>
        <v>0</v>
      </c>
      <c r="O12" s="15"/>
      <c r="P12" s="13"/>
      <c r="Q12" s="26">
        <f aca="true" t="shared" si="4" ref="Q12:Q19">+P12-O12</f>
        <v>0</v>
      </c>
      <c r="R12" s="12"/>
      <c r="S12" s="13"/>
      <c r="T12" s="14">
        <f aca="true" t="shared" si="5" ref="T12:T19">+S12-R12</f>
        <v>0</v>
      </c>
      <c r="U12" s="15"/>
      <c r="V12" s="13"/>
      <c r="W12" s="26">
        <f aca="true" t="shared" si="6" ref="W12:W19">+V12-U12</f>
        <v>0</v>
      </c>
      <c r="X12" s="12"/>
      <c r="Y12" s="13"/>
      <c r="Z12" s="14">
        <f aca="true" t="shared" si="7" ref="Z12:Z19">+Y12-X12</f>
        <v>0</v>
      </c>
    </row>
    <row r="13" spans="1:26" ht="13.5" outlineLevel="1">
      <c r="A13" s="21"/>
      <c r="B13" s="29" t="s">
        <v>27</v>
      </c>
      <c r="C13" s="61">
        <f aca="true" t="shared" si="8" ref="C13:D18">+F13+I13+L13+O13+R13+U13+X13</f>
        <v>1501690</v>
      </c>
      <c r="D13" s="51">
        <f t="shared" si="8"/>
        <v>1501690</v>
      </c>
      <c r="E13" s="114">
        <f t="shared" si="0"/>
        <v>0</v>
      </c>
      <c r="F13" s="12"/>
      <c r="G13" s="13"/>
      <c r="H13" s="14">
        <f t="shared" si="2"/>
        <v>0</v>
      </c>
      <c r="I13" s="15"/>
      <c r="J13" s="13"/>
      <c r="K13" s="26">
        <f>+J13-I13</f>
        <v>0</v>
      </c>
      <c r="L13" s="12"/>
      <c r="M13" s="13"/>
      <c r="N13" s="14">
        <f t="shared" si="3"/>
        <v>0</v>
      </c>
      <c r="O13" s="15">
        <f>+P13</f>
        <v>1501690</v>
      </c>
      <c r="P13" s="13">
        <v>1501690</v>
      </c>
      <c r="Q13" s="26">
        <f t="shared" si="4"/>
        <v>0</v>
      </c>
      <c r="R13" s="12"/>
      <c r="S13" s="13"/>
      <c r="T13" s="14">
        <f t="shared" si="5"/>
        <v>0</v>
      </c>
      <c r="U13" s="15"/>
      <c r="V13" s="13"/>
      <c r="W13" s="26">
        <f t="shared" si="6"/>
        <v>0</v>
      </c>
      <c r="X13" s="12"/>
      <c r="Y13" s="13"/>
      <c r="Z13" s="14">
        <f t="shared" si="7"/>
        <v>0</v>
      </c>
    </row>
    <row r="14" spans="1:26" ht="13.5" outlineLevel="1">
      <c r="A14" s="21"/>
      <c r="B14" s="29" t="s">
        <v>28</v>
      </c>
      <c r="C14" s="61">
        <f t="shared" si="8"/>
        <v>821325</v>
      </c>
      <c r="D14" s="51">
        <f t="shared" si="8"/>
        <v>821325</v>
      </c>
      <c r="E14" s="114">
        <f t="shared" si="0"/>
        <v>0</v>
      </c>
      <c r="F14" s="12"/>
      <c r="G14" s="13"/>
      <c r="H14" s="14">
        <f t="shared" si="2"/>
        <v>0</v>
      </c>
      <c r="I14" s="15"/>
      <c r="J14" s="13"/>
      <c r="K14" s="26">
        <f>+J14-I14</f>
        <v>0</v>
      </c>
      <c r="L14" s="12"/>
      <c r="M14" s="13"/>
      <c r="N14" s="14">
        <f t="shared" si="3"/>
        <v>0</v>
      </c>
      <c r="O14" s="15"/>
      <c r="P14" s="13"/>
      <c r="Q14" s="26">
        <f t="shared" si="4"/>
        <v>0</v>
      </c>
      <c r="R14" s="12"/>
      <c r="S14" s="13"/>
      <c r="T14" s="14">
        <f t="shared" si="5"/>
        <v>0</v>
      </c>
      <c r="U14" s="15">
        <f>+V14</f>
        <v>821325</v>
      </c>
      <c r="V14" s="13">
        <v>821325</v>
      </c>
      <c r="W14" s="26">
        <f t="shared" si="6"/>
        <v>0</v>
      </c>
      <c r="X14" s="12"/>
      <c r="Y14" s="13"/>
      <c r="Z14" s="14">
        <f t="shared" si="7"/>
        <v>0</v>
      </c>
    </row>
    <row r="15" spans="1:26" ht="13.5" outlineLevel="1">
      <c r="A15" s="21"/>
      <c r="B15" s="29" t="s">
        <v>31</v>
      </c>
      <c r="C15" s="61">
        <f t="shared" si="8"/>
        <v>0</v>
      </c>
      <c r="D15" s="51">
        <f t="shared" si="8"/>
        <v>0</v>
      </c>
      <c r="E15" s="114">
        <f t="shared" si="0"/>
        <v>0</v>
      </c>
      <c r="F15" s="12"/>
      <c r="G15" s="13"/>
      <c r="H15" s="14">
        <f t="shared" si="2"/>
        <v>0</v>
      </c>
      <c r="I15" s="15"/>
      <c r="J15" s="13"/>
      <c r="K15" s="26">
        <f>+J15-I15</f>
        <v>0</v>
      </c>
      <c r="L15" s="12"/>
      <c r="M15" s="13"/>
      <c r="N15" s="14">
        <f t="shared" si="3"/>
        <v>0</v>
      </c>
      <c r="O15" s="15"/>
      <c r="P15" s="13"/>
      <c r="Q15" s="26">
        <f t="shared" si="4"/>
        <v>0</v>
      </c>
      <c r="R15" s="12"/>
      <c r="S15" s="13"/>
      <c r="T15" s="14">
        <f t="shared" si="5"/>
        <v>0</v>
      </c>
      <c r="U15" s="15"/>
      <c r="V15" s="13"/>
      <c r="W15" s="26">
        <f t="shared" si="6"/>
        <v>0</v>
      </c>
      <c r="X15" s="12"/>
      <c r="Y15" s="13"/>
      <c r="Z15" s="14">
        <f t="shared" si="7"/>
        <v>0</v>
      </c>
    </row>
    <row r="16" spans="1:26" ht="25.5" outlineLevel="1">
      <c r="A16" s="21"/>
      <c r="B16" s="29" t="s">
        <v>32</v>
      </c>
      <c r="C16" s="61">
        <f t="shared" si="8"/>
        <v>186760</v>
      </c>
      <c r="D16" s="51">
        <f t="shared" si="8"/>
        <v>186760</v>
      </c>
      <c r="E16" s="114">
        <f t="shared" si="0"/>
        <v>0</v>
      </c>
      <c r="F16" s="12">
        <f>+G16</f>
        <v>186760</v>
      </c>
      <c r="G16" s="13">
        <v>186760</v>
      </c>
      <c r="H16" s="14">
        <f t="shared" si="2"/>
        <v>0</v>
      </c>
      <c r="I16" s="15"/>
      <c r="J16" s="13"/>
      <c r="K16" s="26">
        <f>+J16-I16</f>
        <v>0</v>
      </c>
      <c r="L16" s="12"/>
      <c r="M16" s="13"/>
      <c r="N16" s="14">
        <f t="shared" si="3"/>
        <v>0</v>
      </c>
      <c r="O16" s="15"/>
      <c r="P16" s="13"/>
      <c r="Q16" s="26">
        <f t="shared" si="4"/>
        <v>0</v>
      </c>
      <c r="R16" s="12"/>
      <c r="S16" s="13"/>
      <c r="T16" s="14">
        <f t="shared" si="5"/>
        <v>0</v>
      </c>
      <c r="U16" s="15"/>
      <c r="V16" s="13"/>
      <c r="W16" s="26">
        <f t="shared" si="6"/>
        <v>0</v>
      </c>
      <c r="X16" s="12"/>
      <c r="Y16" s="13"/>
      <c r="Z16" s="14">
        <f t="shared" si="7"/>
        <v>0</v>
      </c>
    </row>
    <row r="17" spans="1:26" ht="25.5" outlineLevel="1">
      <c r="A17" s="21"/>
      <c r="B17" s="29" t="s">
        <v>156</v>
      </c>
      <c r="C17" s="61">
        <f>+F17+I17+L17+O17+R17+U17+X17</f>
        <v>523371</v>
      </c>
      <c r="D17" s="51">
        <f>+G17+J17+M17+P17+S17+V17+Y17</f>
        <v>523371</v>
      </c>
      <c r="E17" s="114">
        <f>+D17-C17</f>
        <v>0</v>
      </c>
      <c r="F17" s="12"/>
      <c r="G17" s="13"/>
      <c r="H17" s="14"/>
      <c r="I17" s="15"/>
      <c r="J17" s="13"/>
      <c r="K17" s="26"/>
      <c r="L17" s="12">
        <f>+M17</f>
        <v>523371</v>
      </c>
      <c r="M17" s="13">
        <v>523371</v>
      </c>
      <c r="N17" s="14"/>
      <c r="O17" s="15"/>
      <c r="P17" s="13"/>
      <c r="Q17" s="26"/>
      <c r="R17" s="12"/>
      <c r="S17" s="13"/>
      <c r="T17" s="14"/>
      <c r="U17" s="15"/>
      <c r="V17" s="13"/>
      <c r="W17" s="26"/>
      <c r="X17" s="12"/>
      <c r="Y17" s="13"/>
      <c r="Z17" s="14"/>
    </row>
    <row r="18" spans="1:26" ht="25.5" outlineLevel="1">
      <c r="A18" s="21"/>
      <c r="B18" s="29" t="s">
        <v>33</v>
      </c>
      <c r="C18" s="61">
        <f t="shared" si="8"/>
        <v>190687</v>
      </c>
      <c r="D18" s="51">
        <f t="shared" si="8"/>
        <v>190687</v>
      </c>
      <c r="E18" s="114">
        <f t="shared" si="0"/>
        <v>0</v>
      </c>
      <c r="F18" s="12"/>
      <c r="G18" s="13"/>
      <c r="H18" s="14">
        <f t="shared" si="2"/>
        <v>0</v>
      </c>
      <c r="I18" s="15"/>
      <c r="J18" s="13"/>
      <c r="K18" s="26"/>
      <c r="L18" s="12"/>
      <c r="M18" s="13"/>
      <c r="N18" s="14">
        <f t="shared" si="3"/>
        <v>0</v>
      </c>
      <c r="O18" s="15"/>
      <c r="P18" s="13"/>
      <c r="Q18" s="26">
        <f t="shared" si="4"/>
        <v>0</v>
      </c>
      <c r="R18" s="12"/>
      <c r="S18" s="13"/>
      <c r="T18" s="14">
        <f t="shared" si="5"/>
        <v>0</v>
      </c>
      <c r="U18" s="15">
        <f>+V18</f>
        <v>190687</v>
      </c>
      <c r="V18" s="13">
        <v>190687</v>
      </c>
      <c r="W18" s="26">
        <f t="shared" si="6"/>
        <v>0</v>
      </c>
      <c r="X18" s="12"/>
      <c r="Y18" s="13"/>
      <c r="Z18" s="14">
        <f t="shared" si="7"/>
        <v>0</v>
      </c>
    </row>
    <row r="19" spans="1:26" ht="13.5" outlineLevel="2">
      <c r="A19" s="21">
        <v>4</v>
      </c>
      <c r="B19" s="29" t="s">
        <v>54</v>
      </c>
      <c r="C19" s="61"/>
      <c r="D19" s="51">
        <v>15000</v>
      </c>
      <c r="E19" s="114"/>
      <c r="F19" s="12">
        <f>+C19-I19-L19-O19-R19-U19-X19</f>
        <v>0</v>
      </c>
      <c r="G19" s="13">
        <f>+D19-J19-M19-P19-S19-V19-Y19</f>
        <v>4783.089999999999</v>
      </c>
      <c r="H19" s="14">
        <f t="shared" si="2"/>
        <v>4783.089999999999</v>
      </c>
      <c r="I19" s="15">
        <f>+ROUND(C19/$C$8*$I$8,2)</f>
        <v>0</v>
      </c>
      <c r="J19" s="13">
        <f>+ROUND(D19/$C$8*$I$8,2)</f>
        <v>1553.08</v>
      </c>
      <c r="K19" s="26">
        <f>+J19-I19</f>
        <v>1553.08</v>
      </c>
      <c r="L19" s="12">
        <f>+ROUND(C19/$C$8*$L$8,2)</f>
        <v>0</v>
      </c>
      <c r="M19" s="13">
        <f>+ROUND(D19/$C$8*$L$8,2)</f>
        <v>3429.16</v>
      </c>
      <c r="N19" s="14">
        <f t="shared" si="3"/>
        <v>3429.16</v>
      </c>
      <c r="O19" s="15">
        <f>+ROUND(C19/$C$8*$O$8,2)</f>
        <v>0</v>
      </c>
      <c r="P19" s="13">
        <f>+ROUND(D19/$C$8*$O$8,2)</f>
        <v>1613.36</v>
      </c>
      <c r="Q19" s="26">
        <f t="shared" si="4"/>
        <v>1613.36</v>
      </c>
      <c r="R19" s="12">
        <f>+ROUND(C19/$C$8*$R$8,2)</f>
        <v>0</v>
      </c>
      <c r="S19" s="13">
        <f>+ROUND(D19/$C$8*$R$8,2)</f>
        <v>1006.6</v>
      </c>
      <c r="T19" s="14">
        <f t="shared" si="5"/>
        <v>1006.6</v>
      </c>
      <c r="U19" s="15">
        <f>+ROUND(C19/$C$8*$U$8,2)</f>
        <v>0</v>
      </c>
      <c r="V19" s="13">
        <f>+ROUND(D19/$C$8*$U$8,2)</f>
        <v>1005.35</v>
      </c>
      <c r="W19" s="26">
        <f t="shared" si="6"/>
        <v>1005.35</v>
      </c>
      <c r="X19" s="12">
        <f>+ROUND(C19/$C$8*$X$8,2)</f>
        <v>0</v>
      </c>
      <c r="Y19" s="13">
        <f>+ROUND(D19/$C$8*$X$8,2)</f>
        <v>1609.36</v>
      </c>
      <c r="Z19" s="14">
        <f t="shared" si="7"/>
        <v>1609.36</v>
      </c>
    </row>
    <row r="20" spans="1:26" s="5" customFormat="1" ht="20.25" outlineLevel="1" thickBot="1">
      <c r="A20" s="30"/>
      <c r="B20" s="31" t="s">
        <v>75</v>
      </c>
      <c r="C20" s="62">
        <f aca="true" t="shared" si="9" ref="C20:Y20">+C10+C11+C19</f>
        <v>26617004.490000002</v>
      </c>
      <c r="D20" s="218">
        <f t="shared" si="9"/>
        <v>26507593.180000003</v>
      </c>
      <c r="E20" s="116">
        <f>+E10+E11+E9</f>
        <v>-748329.0199999986</v>
      </c>
      <c r="F20" s="35">
        <f t="shared" si="9"/>
        <v>8227581.98</v>
      </c>
      <c r="G20" s="32">
        <f t="shared" si="9"/>
        <v>8382741.76</v>
      </c>
      <c r="H20" s="33">
        <f>+H10+H11+H9</f>
        <v>-268745.2500000005</v>
      </c>
      <c r="I20" s="37">
        <f t="shared" si="9"/>
        <v>2662795.07</v>
      </c>
      <c r="J20" s="32">
        <f t="shared" si="9"/>
        <v>2683224.62</v>
      </c>
      <c r="K20" s="34">
        <f>+K10+K11+K9</f>
        <v>-48173.5199999998</v>
      </c>
      <c r="L20" s="35">
        <f t="shared" si="9"/>
        <v>5140920.49</v>
      </c>
      <c r="M20" s="32">
        <f t="shared" si="9"/>
        <v>5023548.48</v>
      </c>
      <c r="N20" s="33">
        <f>+N10+N11+N9</f>
        <v>-80251.05999999992</v>
      </c>
      <c r="O20" s="37">
        <f t="shared" si="9"/>
        <v>3665203.1</v>
      </c>
      <c r="P20" s="32">
        <f t="shared" si="9"/>
        <v>3524879.46</v>
      </c>
      <c r="Q20" s="34">
        <f>+Q10+Q11+Q9</f>
        <v>-179352.59</v>
      </c>
      <c r="R20" s="35">
        <f t="shared" si="9"/>
        <v>1561998.65</v>
      </c>
      <c r="S20" s="32">
        <f t="shared" si="9"/>
        <v>1520277.52</v>
      </c>
      <c r="T20" s="33">
        <f>+T10+T11+T9</f>
        <v>-44010.73999999998</v>
      </c>
      <c r="U20" s="37">
        <f t="shared" si="9"/>
        <v>2887525.21</v>
      </c>
      <c r="V20" s="32">
        <f t="shared" si="9"/>
        <v>2914693.66</v>
      </c>
      <c r="W20" s="34">
        <f>+W10+W11+W9</f>
        <v>17989.640000000094</v>
      </c>
      <c r="X20" s="35">
        <f t="shared" si="9"/>
        <v>2470979.99</v>
      </c>
      <c r="Y20" s="32">
        <f t="shared" si="9"/>
        <v>2458227.6799999997</v>
      </c>
      <c r="Z20" s="33">
        <f>+Z10+Z11+Z9</f>
        <v>-145785.50000000038</v>
      </c>
    </row>
    <row r="21" spans="1:26" s="5" customFormat="1" ht="25.5" outlineLevel="1">
      <c r="A21" s="20"/>
      <c r="B21" s="151" t="s">
        <v>140</v>
      </c>
      <c r="C21" s="63"/>
      <c r="D21" s="53">
        <v>690333.73</v>
      </c>
      <c r="E21" s="184"/>
      <c r="F21" s="53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</row>
    <row r="22" spans="1:26" s="5" customFormat="1" ht="25.5" outlineLevel="1">
      <c r="A22" s="20"/>
      <c r="B22" s="151" t="s">
        <v>155</v>
      </c>
      <c r="C22" s="63"/>
      <c r="D22" s="53">
        <f>+D21+D20</f>
        <v>27197926.910000004</v>
      </c>
      <c r="E22" s="148"/>
      <c r="F22" s="53"/>
      <c r="G22" s="53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</row>
    <row r="23" spans="1:5" s="10" customFormat="1" ht="13.5" outlineLevel="1">
      <c r="A23" s="8"/>
      <c r="B23" s="11"/>
      <c r="C23" s="63"/>
      <c r="D23" s="53"/>
      <c r="E23" s="9"/>
    </row>
    <row r="24" spans="1:4" s="70" customFormat="1" ht="18.75" outlineLevel="1">
      <c r="A24" s="20" t="s">
        <v>13</v>
      </c>
      <c r="C24" s="53"/>
      <c r="D24" s="53"/>
    </row>
    <row r="25" spans="1:5" s="70" customFormat="1" ht="19.5" thickBot="1">
      <c r="A25" s="20"/>
      <c r="C25" s="63"/>
      <c r="D25" s="53"/>
      <c r="E25" s="9"/>
    </row>
    <row r="26" spans="1:26" s="45" customFormat="1" ht="13.5" customHeight="1" outlineLevel="1">
      <c r="A26" s="279" t="s">
        <v>74</v>
      </c>
      <c r="B26" s="277" t="s">
        <v>73</v>
      </c>
      <c r="C26" s="272" t="str">
        <f>+C4</f>
        <v>2013г</v>
      </c>
      <c r="D26" s="272"/>
      <c r="E26" s="273" t="s">
        <v>12</v>
      </c>
      <c r="F26" s="275" t="s">
        <v>17</v>
      </c>
      <c r="G26" s="276"/>
      <c r="H26" s="276"/>
      <c r="I26" s="276" t="s">
        <v>18</v>
      </c>
      <c r="J26" s="276"/>
      <c r="K26" s="276"/>
      <c r="L26" s="277" t="s">
        <v>19</v>
      </c>
      <c r="M26" s="277"/>
      <c r="N26" s="277"/>
      <c r="O26" s="277" t="s">
        <v>20</v>
      </c>
      <c r="P26" s="277"/>
      <c r="Q26" s="277"/>
      <c r="R26" s="277" t="s">
        <v>21</v>
      </c>
      <c r="S26" s="277"/>
      <c r="T26" s="277"/>
      <c r="U26" s="277" t="s">
        <v>22</v>
      </c>
      <c r="V26" s="277"/>
      <c r="W26" s="278"/>
      <c r="X26" s="279" t="s">
        <v>23</v>
      </c>
      <c r="Y26" s="277"/>
      <c r="Z26" s="280"/>
    </row>
    <row r="27" spans="1:26" s="45" customFormat="1" ht="28.5" customHeight="1" outlineLevel="1" thickBot="1">
      <c r="A27" s="290"/>
      <c r="B27" s="291"/>
      <c r="C27" s="64" t="s">
        <v>15</v>
      </c>
      <c r="D27" s="72" t="s">
        <v>0</v>
      </c>
      <c r="E27" s="274"/>
      <c r="F27" s="115" t="s">
        <v>35</v>
      </c>
      <c r="G27" s="73" t="s">
        <v>0</v>
      </c>
      <c r="H27" s="73" t="s">
        <v>36</v>
      </c>
      <c r="I27" s="73" t="s">
        <v>35</v>
      </c>
      <c r="J27" s="73" t="s">
        <v>0</v>
      </c>
      <c r="K27" s="73" t="s">
        <v>36</v>
      </c>
      <c r="L27" s="73" t="s">
        <v>35</v>
      </c>
      <c r="M27" s="73" t="s">
        <v>0</v>
      </c>
      <c r="N27" s="73" t="s">
        <v>36</v>
      </c>
      <c r="O27" s="73" t="s">
        <v>35</v>
      </c>
      <c r="P27" s="73" t="s">
        <v>0</v>
      </c>
      <c r="Q27" s="73" t="s">
        <v>36</v>
      </c>
      <c r="R27" s="73" t="s">
        <v>35</v>
      </c>
      <c r="S27" s="73" t="s">
        <v>0</v>
      </c>
      <c r="T27" s="73" t="s">
        <v>36</v>
      </c>
      <c r="U27" s="73" t="s">
        <v>35</v>
      </c>
      <c r="V27" s="73" t="s">
        <v>0</v>
      </c>
      <c r="W27" s="74" t="s">
        <v>36</v>
      </c>
      <c r="X27" s="75" t="s">
        <v>35</v>
      </c>
      <c r="Y27" s="73" t="s">
        <v>0</v>
      </c>
      <c r="Z27" s="76" t="s">
        <v>36</v>
      </c>
    </row>
    <row r="28" spans="1:26" s="45" customFormat="1" ht="13.5" outlineLevel="1">
      <c r="A28" s="46">
        <v>1</v>
      </c>
      <c r="B28" s="185" t="s">
        <v>87</v>
      </c>
      <c r="C28" s="61">
        <f>+C89+C116+C139+C108+C98+C129+C112+C86</f>
        <v>259890.6</v>
      </c>
      <c r="D28" s="61">
        <f>+D89+D116+D139+D108+D98+D129+D112</f>
        <v>282594.56</v>
      </c>
      <c r="E28" s="186">
        <f>+D28-C28</f>
        <v>22703.959999999992</v>
      </c>
      <c r="F28" s="43">
        <f>+F89+F116+F139+F108+F98+F129+F112+F86</f>
        <v>85794.34999999999</v>
      </c>
      <c r="G28" s="19">
        <f>+G89+G116+G139+G108+G98+G129+G112</f>
        <v>87634.70000000001</v>
      </c>
      <c r="H28" s="40">
        <f>+G28-F28</f>
        <v>1840.3500000000204</v>
      </c>
      <c r="I28" s="43">
        <f>+I89+I116+I139+I108+I98+I129+I112+I86</f>
        <v>27769.910000000003</v>
      </c>
      <c r="J28" s="19">
        <f>+J89+J116+J139+J108+J98+J129+J112</f>
        <v>42510.189999999995</v>
      </c>
      <c r="K28" s="44">
        <f>+J28-I28</f>
        <v>14740.279999999992</v>
      </c>
      <c r="L28" s="42">
        <f>+L89+L116+L139+L108+L98+L129+L112+L86</f>
        <v>46042.15</v>
      </c>
      <c r="M28" s="19">
        <f>+M89+M116+M139+M108+M98+M129+M112</f>
        <v>60004.31</v>
      </c>
      <c r="N28" s="40">
        <f>+M28-L28</f>
        <v>13962.159999999996</v>
      </c>
      <c r="O28" s="43">
        <f>+O89+O116+O139+O108+O98+O129+O112+O86</f>
        <v>21662.059999999998</v>
      </c>
      <c r="P28" s="19">
        <f>+P89+P116+P139+P108+P98+P129+P112</f>
        <v>28343</v>
      </c>
      <c r="Q28" s="44">
        <f>+P28-O28</f>
        <v>6680.940000000002</v>
      </c>
      <c r="R28" s="42">
        <f>+R89+R116+R139+R108+R98+R129+R112+R86</f>
        <v>13515.33</v>
      </c>
      <c r="S28" s="19">
        <f>+S89+S116+S139+S108+S98+S129+S112</f>
        <v>17890.710000000003</v>
      </c>
      <c r="T28" s="40">
        <f>+S28-R28</f>
        <v>4375.380000000003</v>
      </c>
      <c r="U28" s="43">
        <f>+U89+U116+U139+U108+U98+U129+U112+U86</f>
        <v>13498.48</v>
      </c>
      <c r="V28" s="19">
        <f>+V89+V116+V139+V108+V98+V129+V112</f>
        <v>17822.309999999998</v>
      </c>
      <c r="W28" s="44">
        <f>+V28-U28</f>
        <v>4323.829999999998</v>
      </c>
      <c r="X28" s="42">
        <f>+X89+X116+X139+X108+X98+X129+X112+X86</f>
        <v>21608.32</v>
      </c>
      <c r="Y28" s="19">
        <f>+Y89+Y116+Y139+Y108+Y98+Y129+Y112</f>
        <v>28389.34</v>
      </c>
      <c r="Z28" s="40">
        <f>+Y28-X28</f>
        <v>6781.02</v>
      </c>
    </row>
    <row r="29" spans="1:26" s="45" customFormat="1" ht="13.5" outlineLevel="1">
      <c r="A29" s="46">
        <v>2</v>
      </c>
      <c r="B29" s="185" t="s">
        <v>11</v>
      </c>
      <c r="C29" s="61">
        <f>+C157+C138</f>
        <v>590677.9299999999</v>
      </c>
      <c r="D29" s="61">
        <f>+D157+D138</f>
        <v>597024.7599999999</v>
      </c>
      <c r="E29" s="41">
        <f aca="true" t="shared" si="10" ref="E29:E72">+D29-C29</f>
        <v>6346.829999999958</v>
      </c>
      <c r="F29" s="43">
        <f aca="true" t="shared" si="11" ref="F29:Y29">+F157+F138</f>
        <v>310747.75</v>
      </c>
      <c r="G29" s="19">
        <f t="shared" si="11"/>
        <v>315143.88</v>
      </c>
      <c r="H29" s="40">
        <f aca="true" t="shared" si="12" ref="H29:H43">+G29-F29</f>
        <v>4396.130000000005</v>
      </c>
      <c r="I29" s="43">
        <f t="shared" si="11"/>
        <v>100497.37999999999</v>
      </c>
      <c r="J29" s="19">
        <f t="shared" si="11"/>
        <v>100793.90999999999</v>
      </c>
      <c r="K29" s="44">
        <f aca="true" t="shared" si="13" ref="K29:K43">+J29-I29</f>
        <v>296.52999999999884</v>
      </c>
      <c r="L29" s="42">
        <f t="shared" si="11"/>
        <v>37992.649999999994</v>
      </c>
      <c r="M29" s="19">
        <f t="shared" si="11"/>
        <v>38647.369999999995</v>
      </c>
      <c r="N29" s="40">
        <f aca="true" t="shared" si="14" ref="N29:N43">+M29-L29</f>
        <v>654.7200000000012</v>
      </c>
      <c r="O29" s="43">
        <f t="shared" si="11"/>
        <v>17116.32</v>
      </c>
      <c r="P29" s="19">
        <f t="shared" si="11"/>
        <v>17424.36</v>
      </c>
      <c r="Q29" s="44">
        <f aca="true" t="shared" si="15" ref="Q29:Q43">+P29-O29</f>
        <v>308.0400000000009</v>
      </c>
      <c r="R29" s="42">
        <f t="shared" si="11"/>
        <v>13852.279999999999</v>
      </c>
      <c r="S29" s="19">
        <f t="shared" si="11"/>
        <v>14044.47</v>
      </c>
      <c r="T29" s="40">
        <f aca="true" t="shared" si="16" ref="T29:T43">+S29-R29</f>
        <v>192.1900000000005</v>
      </c>
      <c r="U29" s="43">
        <f t="shared" si="11"/>
        <v>85744.86000000002</v>
      </c>
      <c r="V29" s="19">
        <f t="shared" si="11"/>
        <v>85936.81000000001</v>
      </c>
      <c r="W29" s="44">
        <f aca="true" t="shared" si="17" ref="W29:W43">+V29-U29</f>
        <v>191.9499999999971</v>
      </c>
      <c r="X29" s="42">
        <f t="shared" si="11"/>
        <v>24726.69</v>
      </c>
      <c r="Y29" s="19">
        <f t="shared" si="11"/>
        <v>25033.96</v>
      </c>
      <c r="Z29" s="40">
        <f aca="true" t="shared" si="18" ref="Z29:Z72">+Y29-X29</f>
        <v>307.27000000000044</v>
      </c>
    </row>
    <row r="30" spans="1:26" s="45" customFormat="1" ht="13.5" outlineLevel="1">
      <c r="A30" s="46">
        <v>3</v>
      </c>
      <c r="B30" s="185" t="s">
        <v>88</v>
      </c>
      <c r="C30" s="61">
        <f>+C145</f>
        <v>13266907.040000003</v>
      </c>
      <c r="D30" s="61">
        <f>+D145</f>
        <v>11379522.94</v>
      </c>
      <c r="E30" s="41">
        <f t="shared" si="10"/>
        <v>-1887384.1000000034</v>
      </c>
      <c r="F30" s="43">
        <f aca="true" t="shared" si="19" ref="F30:Y30">+F145</f>
        <v>4403941.050000001</v>
      </c>
      <c r="G30" s="19">
        <f t="shared" si="19"/>
        <v>3350351</v>
      </c>
      <c r="H30" s="40">
        <f t="shared" si="12"/>
        <v>-1053590.0500000007</v>
      </c>
      <c r="I30" s="43">
        <f t="shared" si="19"/>
        <v>1427637.13</v>
      </c>
      <c r="J30" s="19">
        <f t="shared" si="19"/>
        <v>1337827.3</v>
      </c>
      <c r="K30" s="44">
        <f t="shared" si="13"/>
        <v>-89809.82999999984</v>
      </c>
      <c r="L30" s="42">
        <f t="shared" si="19"/>
        <v>2588945.74</v>
      </c>
      <c r="M30" s="19">
        <f t="shared" si="19"/>
        <v>2436915.74</v>
      </c>
      <c r="N30" s="40">
        <f t="shared" si="14"/>
        <v>-152030</v>
      </c>
      <c r="O30" s="43">
        <f t="shared" si="19"/>
        <v>1186047.12</v>
      </c>
      <c r="P30" s="19">
        <f t="shared" si="19"/>
        <v>958542.0499999999</v>
      </c>
      <c r="Q30" s="44">
        <f t="shared" si="15"/>
        <v>-227505.07000000018</v>
      </c>
      <c r="R30" s="42">
        <f t="shared" si="19"/>
        <v>957358.74</v>
      </c>
      <c r="S30" s="19">
        <f t="shared" si="19"/>
        <v>898991.27</v>
      </c>
      <c r="T30" s="40">
        <f t="shared" si="16"/>
        <v>-58367.46999999997</v>
      </c>
      <c r="U30" s="43">
        <f t="shared" si="19"/>
        <v>1140087.24</v>
      </c>
      <c r="V30" s="19">
        <f t="shared" si="19"/>
        <v>1066529.92</v>
      </c>
      <c r="W30" s="44">
        <f t="shared" si="17"/>
        <v>-73557.32000000007</v>
      </c>
      <c r="X30" s="42">
        <f t="shared" si="19"/>
        <v>1562890.02</v>
      </c>
      <c r="Y30" s="19">
        <f t="shared" si="19"/>
        <v>1330365.66</v>
      </c>
      <c r="Z30" s="40">
        <f t="shared" si="18"/>
        <v>-232524.3600000001</v>
      </c>
    </row>
    <row r="31" spans="1:26" s="45" customFormat="1" ht="13.5" outlineLevel="1">
      <c r="A31" s="46">
        <v>4</v>
      </c>
      <c r="B31" s="185" t="s">
        <v>56</v>
      </c>
      <c r="C31" s="61">
        <f>+C90+C113+C117+C143+C83</f>
        <v>3491929.68</v>
      </c>
      <c r="D31" s="118">
        <f>+D90+D113+D117+D143+D83</f>
        <v>3415715.85</v>
      </c>
      <c r="E31" s="41">
        <f t="shared" si="10"/>
        <v>-76213.83000000007</v>
      </c>
      <c r="F31" s="43">
        <f>+F90+F113+F117+F143+F83</f>
        <v>1156532.6500000001</v>
      </c>
      <c r="G31" s="19">
        <f>+G90+G113+G117+G143+G83</f>
        <v>1150648.0299999998</v>
      </c>
      <c r="H31" s="40">
        <f t="shared" si="12"/>
        <v>-5884.620000000345</v>
      </c>
      <c r="I31" s="43">
        <f>+I90+I113+I117+I143+I83</f>
        <v>374688.81000000006</v>
      </c>
      <c r="J31" s="19">
        <f>+J90+J113+J117+J143+J83</f>
        <v>378283.47000000003</v>
      </c>
      <c r="K31" s="44">
        <f t="shared" si="13"/>
        <v>3594.6599999999744</v>
      </c>
      <c r="L31" s="42">
        <f>+L90+L113+L117+L143+L83</f>
        <v>776051.5</v>
      </c>
      <c r="M31" s="19">
        <f>+M90+M113+M117+M143+M83</f>
        <v>733155.55</v>
      </c>
      <c r="N31" s="40">
        <f t="shared" si="14"/>
        <v>-42895.94999999995</v>
      </c>
      <c r="O31" s="43">
        <f>+O90+O113+O117+O143+O83</f>
        <v>365119.19999999995</v>
      </c>
      <c r="P31" s="19">
        <f>+P90+P113+P117+P143+P83</f>
        <v>344946.1</v>
      </c>
      <c r="Q31" s="44">
        <f t="shared" si="15"/>
        <v>-20173.099999999977</v>
      </c>
      <c r="R31" s="42">
        <f>+R90+R113+R117+R143+R83</f>
        <v>227804.25</v>
      </c>
      <c r="S31" s="19">
        <f>+S90+S113+S117+S143+S83</f>
        <v>226370.63</v>
      </c>
      <c r="T31" s="40">
        <f t="shared" si="16"/>
        <v>-1433.6199999999953</v>
      </c>
      <c r="U31" s="43">
        <f>+U90+U113+U117+U143+U83</f>
        <v>227520.03</v>
      </c>
      <c r="V31" s="19">
        <f>+V90+V113+V117+V143+V83</f>
        <v>225079.94</v>
      </c>
      <c r="W31" s="44">
        <f t="shared" si="17"/>
        <v>-2440.0899999999965</v>
      </c>
      <c r="X31" s="42">
        <f>+X90+X113+X117+X143+X83</f>
        <v>364213.24</v>
      </c>
      <c r="Y31" s="19">
        <f>+Y90+Y113+Y117+Y143+Y83</f>
        <v>357232.13</v>
      </c>
      <c r="Z31" s="40">
        <f t="shared" si="18"/>
        <v>-6981.109999999986</v>
      </c>
    </row>
    <row r="32" spans="1:26" s="45" customFormat="1" ht="13.5" outlineLevel="1">
      <c r="A32" s="46">
        <v>5</v>
      </c>
      <c r="B32" s="185" t="s">
        <v>89</v>
      </c>
      <c r="C32" s="61">
        <f>+C91+C114+C118+C144+C84</f>
        <v>705369.7999999999</v>
      </c>
      <c r="D32" s="118">
        <f>+D91+D114+D118+D144+D84</f>
        <v>568299.2200000001</v>
      </c>
      <c r="E32" s="41">
        <f t="shared" si="10"/>
        <v>-137070.57999999984</v>
      </c>
      <c r="F32" s="43">
        <f>+F91+F114+F118+F144+F84</f>
        <v>233619.56999999995</v>
      </c>
      <c r="G32" s="19">
        <f>+G91+G114+G118+G144+G84</f>
        <v>193508.96000000014</v>
      </c>
      <c r="H32" s="40">
        <f t="shared" si="12"/>
        <v>-40110.60999999981</v>
      </c>
      <c r="I32" s="43">
        <f>+I91+I114+I118+I144+I84</f>
        <v>75687.15000000001</v>
      </c>
      <c r="J32" s="19">
        <f>+J91+J114+J118+J144+J84</f>
        <v>63765.92</v>
      </c>
      <c r="K32" s="44">
        <f t="shared" si="13"/>
        <v>-11921.23000000001</v>
      </c>
      <c r="L32" s="42">
        <f>+L91+L114+L118+L144+L84</f>
        <v>156762.4</v>
      </c>
      <c r="M32" s="19">
        <f>+M91+M114+M118+M144+M84</f>
        <v>120376.59</v>
      </c>
      <c r="N32" s="40">
        <f t="shared" si="14"/>
        <v>-36385.81</v>
      </c>
      <c r="O32" s="43">
        <f>+O91+O114+O118+O144+O84</f>
        <v>73754.08</v>
      </c>
      <c r="P32" s="19">
        <f>+P91+P114+P118+P144+P84</f>
        <v>56636.899999999994</v>
      </c>
      <c r="Q32" s="44">
        <f t="shared" si="15"/>
        <v>-17117.180000000008</v>
      </c>
      <c r="R32" s="42">
        <f>+R91+R114+R118+R144+R84</f>
        <v>46016.46</v>
      </c>
      <c r="S32" s="19">
        <f>+S91+S114+S118+S144+S84</f>
        <v>37567.3</v>
      </c>
      <c r="T32" s="40">
        <f t="shared" si="16"/>
        <v>-8449.159999999996</v>
      </c>
      <c r="U32" s="43">
        <f>+U91+U114+U118+U144+U84</f>
        <v>45959.05</v>
      </c>
      <c r="V32" s="19">
        <f>+V91+V114+V118+V144+V84</f>
        <v>37318.78</v>
      </c>
      <c r="W32" s="44">
        <f t="shared" si="17"/>
        <v>-8640.270000000004</v>
      </c>
      <c r="X32" s="42">
        <f>+X91+X114+X118+X144+X84</f>
        <v>73571.09</v>
      </c>
      <c r="Y32" s="19">
        <f>+Y91+Y114+Y118+Y144+Y84</f>
        <v>59124.770000000004</v>
      </c>
      <c r="Z32" s="40">
        <f t="shared" si="18"/>
        <v>-14446.319999999992</v>
      </c>
    </row>
    <row r="33" spans="1:26" s="45" customFormat="1" ht="13.5" outlineLevel="1">
      <c r="A33" s="46">
        <v>6</v>
      </c>
      <c r="B33" s="185" t="s">
        <v>90</v>
      </c>
      <c r="C33" s="61">
        <f>SUM(C34:C67)</f>
        <v>8252980.27</v>
      </c>
      <c r="D33" s="61">
        <f>SUM(D34:D67)</f>
        <v>10219015.67</v>
      </c>
      <c r="E33" s="41">
        <f t="shared" si="10"/>
        <v>1966035.4000000004</v>
      </c>
      <c r="F33" s="43">
        <f aca="true" t="shared" si="20" ref="F33:Y33">SUM(F34:F67)</f>
        <v>1944211.3399999999</v>
      </c>
      <c r="G33" s="19">
        <f t="shared" si="20"/>
        <v>2483282.3</v>
      </c>
      <c r="H33" s="40">
        <f t="shared" si="12"/>
        <v>539070.96</v>
      </c>
      <c r="I33" s="43">
        <f t="shared" si="20"/>
        <v>783138.37</v>
      </c>
      <c r="J33" s="19">
        <f t="shared" si="20"/>
        <v>1281168.9</v>
      </c>
      <c r="K33" s="44">
        <f t="shared" si="13"/>
        <v>498030.5299999999</v>
      </c>
      <c r="L33" s="42">
        <f t="shared" si="20"/>
        <v>1635962.04</v>
      </c>
      <c r="M33" s="19">
        <f t="shared" si="20"/>
        <v>1922142.5000000002</v>
      </c>
      <c r="N33" s="40">
        <f t="shared" si="14"/>
        <v>286180.4600000002</v>
      </c>
      <c r="O33" s="43">
        <f t="shared" si="20"/>
        <v>1900268.28</v>
      </c>
      <c r="P33" s="19">
        <f t="shared" si="20"/>
        <v>1941500.52</v>
      </c>
      <c r="Q33" s="44">
        <f t="shared" si="15"/>
        <v>41232.23999999999</v>
      </c>
      <c r="R33" s="42">
        <f t="shared" si="20"/>
        <v>275404.97</v>
      </c>
      <c r="S33" s="19">
        <f t="shared" si="20"/>
        <v>565394.9299999999</v>
      </c>
      <c r="T33" s="40">
        <f t="shared" si="16"/>
        <v>289989.95999999996</v>
      </c>
      <c r="U33" s="43">
        <f t="shared" si="20"/>
        <v>1329269.6800000002</v>
      </c>
      <c r="V33" s="19">
        <f t="shared" si="20"/>
        <v>1306232.44</v>
      </c>
      <c r="W33" s="44">
        <f t="shared" si="17"/>
        <v>-23037.240000000224</v>
      </c>
      <c r="X33" s="42">
        <f t="shared" si="20"/>
        <v>384725.58999999997</v>
      </c>
      <c r="Y33" s="19">
        <f t="shared" si="20"/>
        <v>719294.0800000001</v>
      </c>
      <c r="Z33" s="40">
        <f t="shared" si="18"/>
        <v>334568.4900000001</v>
      </c>
    </row>
    <row r="34" spans="1:26" s="45" customFormat="1" ht="25.5" outlineLevel="1">
      <c r="A34" s="46"/>
      <c r="B34" s="187" t="s">
        <v>170</v>
      </c>
      <c r="C34" s="61">
        <f>+C80</f>
        <v>2384502.42</v>
      </c>
      <c r="D34" s="61">
        <f>+D80</f>
        <v>2384502.42</v>
      </c>
      <c r="E34" s="41">
        <f t="shared" si="10"/>
        <v>0</v>
      </c>
      <c r="F34" s="43">
        <f>+F80</f>
        <v>760353.53</v>
      </c>
      <c r="G34" s="19">
        <f>+G80</f>
        <v>760353.53</v>
      </c>
      <c r="H34" s="40">
        <f t="shared" si="12"/>
        <v>0</v>
      </c>
      <c r="I34" s="43">
        <f>+I80</f>
        <v>246887.8</v>
      </c>
      <c r="J34" s="19">
        <f>+J80</f>
        <v>246887.8</v>
      </c>
      <c r="K34" s="44">
        <f t="shared" si="13"/>
        <v>0</v>
      </c>
      <c r="L34" s="42">
        <f>+L80</f>
        <v>545122.17</v>
      </c>
      <c r="M34" s="19">
        <f>+M80</f>
        <v>545122.17</v>
      </c>
      <c r="N34" s="40">
        <f t="shared" si="14"/>
        <v>0</v>
      </c>
      <c r="O34" s="43">
        <f>+O80</f>
        <v>256470.83</v>
      </c>
      <c r="P34" s="19">
        <f>+P80</f>
        <v>256470.83</v>
      </c>
      <c r="Q34" s="44">
        <f t="shared" si="15"/>
        <v>0</v>
      </c>
      <c r="R34" s="42">
        <f>+R80</f>
        <v>160016.64</v>
      </c>
      <c r="S34" s="19">
        <f>+S80</f>
        <v>160016.64</v>
      </c>
      <c r="T34" s="40">
        <f t="shared" si="16"/>
        <v>0</v>
      </c>
      <c r="U34" s="43">
        <f>+U80</f>
        <v>159816.99</v>
      </c>
      <c r="V34" s="19">
        <f>+V80</f>
        <v>159816.99</v>
      </c>
      <c r="W34" s="44">
        <f t="shared" si="17"/>
        <v>0</v>
      </c>
      <c r="X34" s="42">
        <f>+X80</f>
        <v>255834.46</v>
      </c>
      <c r="Y34" s="19">
        <f>+Y80</f>
        <v>255834.46</v>
      </c>
      <c r="Z34" s="40">
        <f t="shared" si="18"/>
        <v>0</v>
      </c>
    </row>
    <row r="35" spans="1:26" s="45" customFormat="1" ht="13.5" outlineLevel="1">
      <c r="A35" s="46"/>
      <c r="B35" s="187" t="s">
        <v>169</v>
      </c>
      <c r="C35" s="61">
        <f>+C81</f>
        <v>523553.32</v>
      </c>
      <c r="D35" s="61">
        <f>+D81</f>
        <v>488137.23</v>
      </c>
      <c r="E35" s="41">
        <f t="shared" si="10"/>
        <v>-35416.090000000026</v>
      </c>
      <c r="F35" s="43">
        <f>+F81</f>
        <v>165014.62</v>
      </c>
      <c r="G35" s="19">
        <f>+G81</f>
        <v>154696.24</v>
      </c>
      <c r="H35" s="40">
        <f t="shared" si="12"/>
        <v>-10318.380000000005</v>
      </c>
      <c r="I35" s="43">
        <f>+I81</f>
        <v>51711.66</v>
      </c>
      <c r="J35" s="19">
        <f>+J81</f>
        <v>48091.84</v>
      </c>
      <c r="K35" s="44">
        <f t="shared" si="13"/>
        <v>-3619.820000000007</v>
      </c>
      <c r="L35" s="42">
        <f>+L81</f>
        <v>139707.18</v>
      </c>
      <c r="M35" s="19">
        <f>+M81</f>
        <v>129927.68</v>
      </c>
      <c r="N35" s="40">
        <f t="shared" si="14"/>
        <v>-9779.5</v>
      </c>
      <c r="O35" s="43">
        <f>+O81</f>
        <v>45136.14</v>
      </c>
      <c r="P35" s="19">
        <f>+P81</f>
        <v>41976.61</v>
      </c>
      <c r="Q35" s="44">
        <f t="shared" si="15"/>
        <v>-3159.529999999999</v>
      </c>
      <c r="R35" s="42">
        <f>+R81</f>
        <v>34690.92</v>
      </c>
      <c r="S35" s="19">
        <f>+S81</f>
        <v>32262.56</v>
      </c>
      <c r="T35" s="40">
        <f t="shared" si="16"/>
        <v>-2428.359999999997</v>
      </c>
      <c r="U35" s="43">
        <f>+U81</f>
        <v>34658.4</v>
      </c>
      <c r="V35" s="19">
        <f>+V81</f>
        <v>32232.31</v>
      </c>
      <c r="W35" s="44">
        <f t="shared" si="17"/>
        <v>-2426.09</v>
      </c>
      <c r="X35" s="42">
        <f>+X81</f>
        <v>52634.4</v>
      </c>
      <c r="Y35" s="19">
        <f>+Y81</f>
        <v>48949.99</v>
      </c>
      <c r="Z35" s="40">
        <f t="shared" si="18"/>
        <v>-3684.4100000000035</v>
      </c>
    </row>
    <row r="36" spans="1:26" s="45" customFormat="1" ht="13.5" outlineLevel="1">
      <c r="A36" s="46"/>
      <c r="B36" s="187" t="s">
        <v>149</v>
      </c>
      <c r="C36" s="61">
        <f>+C85</f>
        <v>0</v>
      </c>
      <c r="D36" s="61">
        <f>+D85</f>
        <v>0</v>
      </c>
      <c r="E36" s="41">
        <f t="shared" si="10"/>
        <v>0</v>
      </c>
      <c r="F36" s="43">
        <f>+F85</f>
        <v>0</v>
      </c>
      <c r="G36" s="19">
        <f>+G85</f>
        <v>0</v>
      </c>
      <c r="H36" s="40">
        <f t="shared" si="12"/>
        <v>0</v>
      </c>
      <c r="I36" s="43">
        <f>+I85</f>
        <v>0</v>
      </c>
      <c r="J36" s="19">
        <f>+J85</f>
        <v>0</v>
      </c>
      <c r="K36" s="44">
        <f t="shared" si="13"/>
        <v>0</v>
      </c>
      <c r="L36" s="42">
        <f>+L85</f>
        <v>0</v>
      </c>
      <c r="M36" s="19">
        <f>+M85</f>
        <v>0</v>
      </c>
      <c r="N36" s="40">
        <f t="shared" si="14"/>
        <v>0</v>
      </c>
      <c r="O36" s="43">
        <f>+O85</f>
        <v>0</v>
      </c>
      <c r="P36" s="19">
        <f>+P85</f>
        <v>0</v>
      </c>
      <c r="Q36" s="44">
        <f t="shared" si="15"/>
        <v>0</v>
      </c>
      <c r="R36" s="42">
        <f>+R85</f>
        <v>0</v>
      </c>
      <c r="S36" s="19">
        <f>+S85</f>
        <v>0</v>
      </c>
      <c r="T36" s="40">
        <f t="shared" si="16"/>
        <v>0</v>
      </c>
      <c r="U36" s="43">
        <f>+U85</f>
        <v>0</v>
      </c>
      <c r="V36" s="19">
        <f>+V85</f>
        <v>0</v>
      </c>
      <c r="W36" s="44">
        <f t="shared" si="17"/>
        <v>0</v>
      </c>
      <c r="X36" s="42">
        <f>+X85</f>
        <v>0</v>
      </c>
      <c r="Y36" s="19">
        <f>+Y85</f>
        <v>0</v>
      </c>
      <c r="Z36" s="40">
        <f t="shared" si="18"/>
        <v>0</v>
      </c>
    </row>
    <row r="37" spans="1:26" s="45" customFormat="1" ht="13.5" outlineLevel="1">
      <c r="A37" s="46"/>
      <c r="B37" s="187" t="s">
        <v>5</v>
      </c>
      <c r="C37" s="61">
        <f>+C87</f>
        <v>781226.98</v>
      </c>
      <c r="D37" s="61">
        <f>+D87</f>
        <v>775736</v>
      </c>
      <c r="E37" s="41">
        <f t="shared" si="10"/>
        <v>-5490.979999999981</v>
      </c>
      <c r="F37" s="43">
        <f>+F87</f>
        <v>584425.75</v>
      </c>
      <c r="G37" s="19">
        <f>+G87</f>
        <v>579050</v>
      </c>
      <c r="H37" s="40">
        <f t="shared" si="12"/>
        <v>-5375.75</v>
      </c>
      <c r="I37" s="43">
        <f>+I87</f>
        <v>196801.23</v>
      </c>
      <c r="J37" s="19">
        <f>+J87</f>
        <v>196686</v>
      </c>
      <c r="K37" s="44">
        <f t="shared" si="13"/>
        <v>-115.23000000001048</v>
      </c>
      <c r="L37" s="42">
        <f>+L87</f>
        <v>0</v>
      </c>
      <c r="M37" s="19">
        <f>+M87</f>
        <v>0</v>
      </c>
      <c r="N37" s="40">
        <f t="shared" si="14"/>
        <v>0</v>
      </c>
      <c r="O37" s="43">
        <f>+O87</f>
        <v>0</v>
      </c>
      <c r="P37" s="19">
        <f>+P87</f>
        <v>0</v>
      </c>
      <c r="Q37" s="44">
        <f t="shared" si="15"/>
        <v>0</v>
      </c>
      <c r="R37" s="42">
        <f>+R87</f>
        <v>0</v>
      </c>
      <c r="S37" s="19">
        <f>+S87</f>
        <v>0</v>
      </c>
      <c r="T37" s="40">
        <f t="shared" si="16"/>
        <v>0</v>
      </c>
      <c r="U37" s="43">
        <f>+U87</f>
        <v>0</v>
      </c>
      <c r="V37" s="19">
        <f>+V87</f>
        <v>0</v>
      </c>
      <c r="W37" s="44">
        <f t="shared" si="17"/>
        <v>0</v>
      </c>
      <c r="X37" s="42">
        <f>+X87</f>
        <v>0</v>
      </c>
      <c r="Y37" s="19">
        <f>+Y87</f>
        <v>0</v>
      </c>
      <c r="Z37" s="40">
        <f t="shared" si="18"/>
        <v>0</v>
      </c>
    </row>
    <row r="38" spans="1:26" s="45" customFormat="1" ht="25.5" outlineLevel="1">
      <c r="A38" s="46"/>
      <c r="B38" s="187" t="s">
        <v>39</v>
      </c>
      <c r="C38" s="61">
        <f>+C93</f>
        <v>206852.63999999998</v>
      </c>
      <c r="D38" s="61">
        <f>+D93</f>
        <v>250758.03999999998</v>
      </c>
      <c r="E38" s="41">
        <f t="shared" si="10"/>
        <v>43905.399999999994</v>
      </c>
      <c r="F38" s="43">
        <f aca="true" t="shared" si="21" ref="F38:Y38">+F93</f>
        <v>0</v>
      </c>
      <c r="G38" s="19">
        <f t="shared" si="21"/>
        <v>0</v>
      </c>
      <c r="H38" s="40">
        <f t="shared" si="12"/>
        <v>0</v>
      </c>
      <c r="I38" s="43">
        <f t="shared" si="21"/>
        <v>0</v>
      </c>
      <c r="J38" s="19">
        <f t="shared" si="21"/>
        <v>10000</v>
      </c>
      <c r="K38" s="44">
        <f t="shared" si="13"/>
        <v>10000</v>
      </c>
      <c r="L38" s="42">
        <f t="shared" si="21"/>
        <v>179947.24</v>
      </c>
      <c r="M38" s="19">
        <f t="shared" si="21"/>
        <v>179947.24</v>
      </c>
      <c r="N38" s="40">
        <f t="shared" si="14"/>
        <v>0</v>
      </c>
      <c r="O38" s="43">
        <f t="shared" si="21"/>
        <v>26905.4</v>
      </c>
      <c r="P38" s="19">
        <f t="shared" si="21"/>
        <v>26905.4</v>
      </c>
      <c r="Q38" s="44">
        <f t="shared" si="15"/>
        <v>0</v>
      </c>
      <c r="R38" s="42">
        <f t="shared" si="21"/>
        <v>0</v>
      </c>
      <c r="S38" s="19">
        <f t="shared" si="21"/>
        <v>26905.4</v>
      </c>
      <c r="T38" s="40">
        <f t="shared" si="16"/>
        <v>26905.4</v>
      </c>
      <c r="U38" s="43">
        <f t="shared" si="21"/>
        <v>0</v>
      </c>
      <c r="V38" s="19">
        <f t="shared" si="21"/>
        <v>7000</v>
      </c>
      <c r="W38" s="44">
        <f t="shared" si="17"/>
        <v>7000</v>
      </c>
      <c r="X38" s="42">
        <f t="shared" si="21"/>
        <v>0</v>
      </c>
      <c r="Y38" s="19">
        <f t="shared" si="21"/>
        <v>0</v>
      </c>
      <c r="Z38" s="40">
        <f t="shared" si="18"/>
        <v>0</v>
      </c>
    </row>
    <row r="39" spans="1:26" s="45" customFormat="1" ht="13.5" outlineLevel="1">
      <c r="A39" s="46"/>
      <c r="B39" s="96" t="s">
        <v>150</v>
      </c>
      <c r="C39" s="61">
        <f>+C97</f>
        <v>189360.22999999998</v>
      </c>
      <c r="D39" s="61">
        <f>+D97</f>
        <v>171195</v>
      </c>
      <c r="E39" s="41">
        <f t="shared" si="10"/>
        <v>-18165.22999999998</v>
      </c>
      <c r="F39" s="43">
        <f aca="true" t="shared" si="22" ref="F39:Y39">+F97</f>
        <v>0</v>
      </c>
      <c r="G39" s="19">
        <f t="shared" si="22"/>
        <v>0</v>
      </c>
      <c r="H39" s="40">
        <f t="shared" si="12"/>
        <v>0</v>
      </c>
      <c r="I39" s="43">
        <f t="shared" si="22"/>
        <v>175112.55</v>
      </c>
      <c r="J39" s="19">
        <f t="shared" si="22"/>
        <v>171195</v>
      </c>
      <c r="K39" s="44">
        <f t="shared" si="13"/>
        <v>-3917.5499999999884</v>
      </c>
      <c r="L39" s="42">
        <f t="shared" si="22"/>
        <v>0</v>
      </c>
      <c r="M39" s="19">
        <f t="shared" si="22"/>
        <v>0</v>
      </c>
      <c r="N39" s="40">
        <f t="shared" si="14"/>
        <v>0</v>
      </c>
      <c r="O39" s="43">
        <f t="shared" si="22"/>
        <v>0</v>
      </c>
      <c r="P39" s="19">
        <f t="shared" si="22"/>
        <v>0</v>
      </c>
      <c r="Q39" s="44">
        <f t="shared" si="15"/>
        <v>0</v>
      </c>
      <c r="R39" s="42">
        <f t="shared" si="22"/>
        <v>14247.68</v>
      </c>
      <c r="S39" s="19">
        <f t="shared" si="22"/>
        <v>0</v>
      </c>
      <c r="T39" s="40">
        <f t="shared" si="16"/>
        <v>-14247.68</v>
      </c>
      <c r="U39" s="43">
        <f t="shared" si="22"/>
        <v>0</v>
      </c>
      <c r="V39" s="19">
        <f t="shared" si="22"/>
        <v>0</v>
      </c>
      <c r="W39" s="44">
        <f t="shared" si="17"/>
        <v>0</v>
      </c>
      <c r="X39" s="42">
        <f t="shared" si="22"/>
        <v>0</v>
      </c>
      <c r="Y39" s="19">
        <f t="shared" si="22"/>
        <v>0</v>
      </c>
      <c r="Z39" s="40">
        <f t="shared" si="18"/>
        <v>0</v>
      </c>
    </row>
    <row r="40" spans="1:26" s="45" customFormat="1" ht="13.5" outlineLevel="1">
      <c r="A40" s="46"/>
      <c r="B40" s="96" t="s">
        <v>117</v>
      </c>
      <c r="C40" s="61">
        <f>+C95</f>
        <v>29000</v>
      </c>
      <c r="D40" s="61">
        <f>+D95</f>
        <v>30465.07</v>
      </c>
      <c r="E40" s="41">
        <f t="shared" si="10"/>
        <v>1465.0699999999997</v>
      </c>
      <c r="F40" s="43">
        <f aca="true" t="shared" si="23" ref="F40:Y41">+F95</f>
        <v>0</v>
      </c>
      <c r="G40" s="19">
        <f t="shared" si="23"/>
        <v>0</v>
      </c>
      <c r="H40" s="40">
        <f t="shared" si="12"/>
        <v>0</v>
      </c>
      <c r="I40" s="43">
        <f t="shared" si="23"/>
        <v>29000</v>
      </c>
      <c r="J40" s="19">
        <f t="shared" si="23"/>
        <v>30465.07</v>
      </c>
      <c r="K40" s="44">
        <f t="shared" si="13"/>
        <v>1465.0699999999997</v>
      </c>
      <c r="L40" s="42">
        <f t="shared" si="23"/>
        <v>0</v>
      </c>
      <c r="M40" s="19">
        <f t="shared" si="23"/>
        <v>0</v>
      </c>
      <c r="N40" s="40">
        <f t="shared" si="14"/>
        <v>0</v>
      </c>
      <c r="O40" s="43">
        <f t="shared" si="23"/>
        <v>0</v>
      </c>
      <c r="P40" s="19">
        <f t="shared" si="23"/>
        <v>0</v>
      </c>
      <c r="Q40" s="44">
        <f t="shared" si="15"/>
        <v>0</v>
      </c>
      <c r="R40" s="42">
        <f t="shared" si="23"/>
        <v>0</v>
      </c>
      <c r="S40" s="19">
        <f t="shared" si="23"/>
        <v>0</v>
      </c>
      <c r="T40" s="40">
        <f t="shared" si="16"/>
        <v>0</v>
      </c>
      <c r="U40" s="43">
        <f t="shared" si="23"/>
        <v>0</v>
      </c>
      <c r="V40" s="19">
        <f t="shared" si="23"/>
        <v>0</v>
      </c>
      <c r="W40" s="44">
        <f t="shared" si="17"/>
        <v>0</v>
      </c>
      <c r="X40" s="42">
        <f t="shared" si="23"/>
        <v>0</v>
      </c>
      <c r="Y40" s="19">
        <f t="shared" si="23"/>
        <v>0</v>
      </c>
      <c r="Z40" s="40">
        <f t="shared" si="18"/>
        <v>0</v>
      </c>
    </row>
    <row r="41" spans="1:26" s="45" customFormat="1" ht="13.5" outlineLevel="1">
      <c r="A41" s="46"/>
      <c r="B41" s="96" t="s">
        <v>144</v>
      </c>
      <c r="C41" s="61">
        <f>+C96</f>
        <v>0</v>
      </c>
      <c r="D41" s="61">
        <f>+D96</f>
        <v>40000</v>
      </c>
      <c r="E41" s="41">
        <f t="shared" si="10"/>
        <v>40000</v>
      </c>
      <c r="F41" s="43">
        <f t="shared" si="23"/>
        <v>0</v>
      </c>
      <c r="G41" s="19">
        <f t="shared" si="23"/>
        <v>40000</v>
      </c>
      <c r="H41" s="40">
        <f t="shared" si="12"/>
        <v>40000</v>
      </c>
      <c r="I41" s="43">
        <f t="shared" si="23"/>
        <v>0</v>
      </c>
      <c r="J41" s="19">
        <f t="shared" si="23"/>
        <v>0</v>
      </c>
      <c r="K41" s="44">
        <f t="shared" si="13"/>
        <v>0</v>
      </c>
      <c r="L41" s="42">
        <f t="shared" si="23"/>
        <v>0</v>
      </c>
      <c r="M41" s="19">
        <f t="shared" si="23"/>
        <v>0</v>
      </c>
      <c r="N41" s="40">
        <f t="shared" si="14"/>
        <v>0</v>
      </c>
      <c r="O41" s="43">
        <f t="shared" si="23"/>
        <v>0</v>
      </c>
      <c r="P41" s="19">
        <f t="shared" si="23"/>
        <v>0</v>
      </c>
      <c r="Q41" s="44">
        <f t="shared" si="15"/>
        <v>0</v>
      </c>
      <c r="R41" s="42">
        <f t="shared" si="23"/>
        <v>0</v>
      </c>
      <c r="S41" s="19">
        <f t="shared" si="23"/>
        <v>0</v>
      </c>
      <c r="T41" s="40">
        <f t="shared" si="16"/>
        <v>0</v>
      </c>
      <c r="U41" s="43">
        <f t="shared" si="23"/>
        <v>0</v>
      </c>
      <c r="V41" s="19">
        <f t="shared" si="23"/>
        <v>0</v>
      </c>
      <c r="W41" s="44">
        <f t="shared" si="17"/>
        <v>0</v>
      </c>
      <c r="X41" s="42">
        <f t="shared" si="23"/>
        <v>0</v>
      </c>
      <c r="Y41" s="19">
        <f t="shared" si="23"/>
        <v>0</v>
      </c>
      <c r="Z41" s="40">
        <f t="shared" si="18"/>
        <v>0</v>
      </c>
    </row>
    <row r="42" spans="1:26" s="45" customFormat="1" ht="13.5" outlineLevel="1">
      <c r="A42" s="46"/>
      <c r="B42" s="96" t="s">
        <v>40</v>
      </c>
      <c r="C42" s="61">
        <f>+C100</f>
        <v>0</v>
      </c>
      <c r="D42" s="61">
        <f>+D100</f>
        <v>185000</v>
      </c>
      <c r="E42" s="41">
        <f t="shared" si="10"/>
        <v>185000</v>
      </c>
      <c r="F42" s="43">
        <f>+F100</f>
        <v>0</v>
      </c>
      <c r="G42" s="19">
        <f>+G100</f>
        <v>0</v>
      </c>
      <c r="H42" s="40">
        <f t="shared" si="12"/>
        <v>0</v>
      </c>
      <c r="I42" s="43">
        <f>+I100</f>
        <v>0</v>
      </c>
      <c r="J42" s="19">
        <f>+J100</f>
        <v>0</v>
      </c>
      <c r="K42" s="44">
        <f t="shared" si="13"/>
        <v>0</v>
      </c>
      <c r="L42" s="42">
        <f>+L100</f>
        <v>0</v>
      </c>
      <c r="M42" s="19">
        <f>+M100</f>
        <v>185000</v>
      </c>
      <c r="N42" s="40">
        <f t="shared" si="14"/>
        <v>185000</v>
      </c>
      <c r="O42" s="43">
        <f>+O100</f>
        <v>0</v>
      </c>
      <c r="P42" s="19">
        <f>+P100</f>
        <v>0</v>
      </c>
      <c r="Q42" s="44">
        <f t="shared" si="15"/>
        <v>0</v>
      </c>
      <c r="R42" s="42">
        <f>+R100</f>
        <v>0</v>
      </c>
      <c r="S42" s="19">
        <f>+S100</f>
        <v>0</v>
      </c>
      <c r="T42" s="40">
        <f t="shared" si="16"/>
        <v>0</v>
      </c>
      <c r="U42" s="43">
        <f>+U100</f>
        <v>0</v>
      </c>
      <c r="V42" s="19">
        <f>+V100</f>
        <v>0</v>
      </c>
      <c r="W42" s="44">
        <f t="shared" si="17"/>
        <v>0</v>
      </c>
      <c r="X42" s="42">
        <f>+X100</f>
        <v>0</v>
      </c>
      <c r="Y42" s="19">
        <f>+Y100</f>
        <v>0</v>
      </c>
      <c r="Z42" s="40">
        <f t="shared" si="18"/>
        <v>0</v>
      </c>
    </row>
    <row r="43" spans="1:26" s="45" customFormat="1" ht="13.5" outlineLevel="1">
      <c r="A43" s="46"/>
      <c r="B43" s="187" t="s">
        <v>86</v>
      </c>
      <c r="C43" s="61">
        <f>+C134</f>
        <v>10000</v>
      </c>
      <c r="D43" s="61">
        <f>+D134</f>
        <v>6240</v>
      </c>
      <c r="E43" s="41">
        <f t="shared" si="10"/>
        <v>-3760</v>
      </c>
      <c r="F43" s="43">
        <f>+F134</f>
        <v>3188.74</v>
      </c>
      <c r="G43" s="19">
        <f>+G134</f>
        <v>1989.7700000000002</v>
      </c>
      <c r="H43" s="40">
        <f t="shared" si="12"/>
        <v>-1198.9699999999996</v>
      </c>
      <c r="I43" s="43">
        <f>+I134</f>
        <v>1035.38</v>
      </c>
      <c r="J43" s="19">
        <f>+J134</f>
        <v>646.08</v>
      </c>
      <c r="K43" s="44">
        <f t="shared" si="13"/>
        <v>-389.30000000000007</v>
      </c>
      <c r="L43" s="42">
        <f>+L134</f>
        <v>2286.1</v>
      </c>
      <c r="M43" s="19">
        <f>+M134</f>
        <v>1426.53</v>
      </c>
      <c r="N43" s="40">
        <f t="shared" si="14"/>
        <v>-859.5699999999999</v>
      </c>
      <c r="O43" s="43">
        <f>+O134</f>
        <v>1075.57</v>
      </c>
      <c r="P43" s="19">
        <f>+P134</f>
        <v>671.16</v>
      </c>
      <c r="Q43" s="44">
        <f t="shared" si="15"/>
        <v>-404.40999999999997</v>
      </c>
      <c r="R43" s="42">
        <f>+R134</f>
        <v>671.07</v>
      </c>
      <c r="S43" s="19">
        <f>+S134</f>
        <v>418.75</v>
      </c>
      <c r="T43" s="40">
        <f t="shared" si="16"/>
        <v>-252.32000000000005</v>
      </c>
      <c r="U43" s="43">
        <f>+U134</f>
        <v>670.23</v>
      </c>
      <c r="V43" s="19">
        <f>+V134</f>
        <v>418.22</v>
      </c>
      <c r="W43" s="44">
        <f t="shared" si="17"/>
        <v>-252.01</v>
      </c>
      <c r="X43" s="42">
        <f>+X134</f>
        <v>1072.91</v>
      </c>
      <c r="Y43" s="19">
        <f>+Y134</f>
        <v>669.49</v>
      </c>
      <c r="Z43" s="40">
        <f t="shared" si="18"/>
        <v>-403.4200000000001</v>
      </c>
    </row>
    <row r="44" spans="1:26" s="45" customFormat="1" ht="13.5" outlineLevel="1">
      <c r="A44" s="46"/>
      <c r="B44" s="187"/>
      <c r="C44" s="61"/>
      <c r="D44" s="61"/>
      <c r="E44" s="41">
        <f t="shared" si="10"/>
        <v>0</v>
      </c>
      <c r="F44" s="43"/>
      <c r="G44" s="19"/>
      <c r="H44" s="40">
        <f aca="true" t="shared" si="24" ref="H44:H72">+G44-F44</f>
        <v>0</v>
      </c>
      <c r="I44" s="43"/>
      <c r="J44" s="19"/>
      <c r="K44" s="44">
        <f aca="true" t="shared" si="25" ref="K44:K72">+J44-I44</f>
        <v>0</v>
      </c>
      <c r="L44" s="42"/>
      <c r="M44" s="19"/>
      <c r="N44" s="40">
        <f aca="true" t="shared" si="26" ref="N44:N72">+M44-L44</f>
        <v>0</v>
      </c>
      <c r="O44" s="43"/>
      <c r="P44" s="19"/>
      <c r="Q44" s="44">
        <f aca="true" t="shared" si="27" ref="Q44:Q72">+P44-O44</f>
        <v>0</v>
      </c>
      <c r="R44" s="42"/>
      <c r="S44" s="19"/>
      <c r="T44" s="40">
        <f aca="true" t="shared" si="28" ref="T44:T72">+S44-R44</f>
        <v>0</v>
      </c>
      <c r="U44" s="43"/>
      <c r="V44" s="19"/>
      <c r="W44" s="44">
        <f aca="true" t="shared" si="29" ref="W44:W72">+V44-U44</f>
        <v>0</v>
      </c>
      <c r="X44" s="42"/>
      <c r="Y44" s="19"/>
      <c r="Z44" s="40">
        <f t="shared" si="18"/>
        <v>0</v>
      </c>
    </row>
    <row r="45" spans="1:26" s="45" customFormat="1" ht="13.5" outlineLevel="1">
      <c r="A45" s="46"/>
      <c r="B45" s="187" t="s">
        <v>91</v>
      </c>
      <c r="C45" s="61">
        <f>+C102+C111</f>
        <v>68972</v>
      </c>
      <c r="D45" s="61">
        <f>+D102+D111</f>
        <v>100559.99999999997</v>
      </c>
      <c r="E45" s="41">
        <f t="shared" si="10"/>
        <v>31587.99999999997</v>
      </c>
      <c r="F45" s="43">
        <f aca="true" t="shared" si="30" ref="F45:Y45">+F102+F111</f>
        <v>21993.309999999998</v>
      </c>
      <c r="G45" s="19">
        <f t="shared" si="30"/>
        <v>19887.01</v>
      </c>
      <c r="H45" s="40">
        <f t="shared" si="24"/>
        <v>-2106.2999999999993</v>
      </c>
      <c r="I45" s="43">
        <f t="shared" si="30"/>
        <v>7141.26</v>
      </c>
      <c r="J45" s="19">
        <f t="shared" si="30"/>
        <v>4582.82</v>
      </c>
      <c r="K45" s="44">
        <f t="shared" si="25"/>
        <v>-2558.4400000000005</v>
      </c>
      <c r="L45" s="42">
        <f t="shared" si="30"/>
        <v>15767.72</v>
      </c>
      <c r="M45" s="19">
        <f t="shared" si="30"/>
        <v>29675.1</v>
      </c>
      <c r="N45" s="40">
        <f t="shared" si="26"/>
        <v>13907.38</v>
      </c>
      <c r="O45" s="43">
        <f t="shared" si="30"/>
        <v>7418.45</v>
      </c>
      <c r="P45" s="19">
        <f t="shared" si="30"/>
        <v>15021.46</v>
      </c>
      <c r="Q45" s="44">
        <f t="shared" si="27"/>
        <v>7603.009999999999</v>
      </c>
      <c r="R45" s="42">
        <f t="shared" si="30"/>
        <v>4628.5</v>
      </c>
      <c r="S45" s="19">
        <f t="shared" si="30"/>
        <v>8186.08</v>
      </c>
      <c r="T45" s="40">
        <f t="shared" si="28"/>
        <v>3557.58</v>
      </c>
      <c r="U45" s="43">
        <f t="shared" si="30"/>
        <v>4622.72</v>
      </c>
      <c r="V45" s="19">
        <f t="shared" si="30"/>
        <v>8186.07</v>
      </c>
      <c r="W45" s="44">
        <f t="shared" si="29"/>
        <v>3563.3499999999995</v>
      </c>
      <c r="X45" s="42">
        <f t="shared" si="30"/>
        <v>7400.04</v>
      </c>
      <c r="Y45" s="19">
        <f t="shared" si="30"/>
        <v>15021.46</v>
      </c>
      <c r="Z45" s="40">
        <f t="shared" si="18"/>
        <v>7621.419999999999</v>
      </c>
    </row>
    <row r="46" spans="1:26" s="45" customFormat="1" ht="13.5" outlineLevel="1">
      <c r="A46" s="46"/>
      <c r="B46" s="187" t="s">
        <v>42</v>
      </c>
      <c r="C46" s="61">
        <f>+C121</f>
        <v>25800</v>
      </c>
      <c r="D46" s="61">
        <f>+D121</f>
        <v>25818</v>
      </c>
      <c r="E46" s="41">
        <f t="shared" si="10"/>
        <v>18</v>
      </c>
      <c r="F46" s="43">
        <f aca="true" t="shared" si="31" ref="F46:Y46">+F121</f>
        <v>8226.929999999997</v>
      </c>
      <c r="G46" s="19">
        <f t="shared" si="31"/>
        <v>8232.650000000001</v>
      </c>
      <c r="H46" s="40">
        <f t="shared" si="24"/>
        <v>5.720000000004802</v>
      </c>
      <c r="I46" s="43">
        <f t="shared" si="31"/>
        <v>2671.29</v>
      </c>
      <c r="J46" s="19">
        <f t="shared" si="31"/>
        <v>2673.16</v>
      </c>
      <c r="K46" s="44">
        <f t="shared" si="25"/>
        <v>1.8699999999998909</v>
      </c>
      <c r="L46" s="42">
        <f t="shared" si="31"/>
        <v>5898.15</v>
      </c>
      <c r="M46" s="19">
        <f t="shared" si="31"/>
        <v>5902.26</v>
      </c>
      <c r="N46" s="40">
        <f t="shared" si="26"/>
        <v>4.110000000000582</v>
      </c>
      <c r="O46" s="43">
        <f t="shared" si="31"/>
        <v>2774.98</v>
      </c>
      <c r="P46" s="19">
        <f t="shared" si="31"/>
        <v>2776.92</v>
      </c>
      <c r="Q46" s="44">
        <f t="shared" si="27"/>
        <v>1.9400000000000546</v>
      </c>
      <c r="R46" s="42">
        <f t="shared" si="31"/>
        <v>1731.36</v>
      </c>
      <c r="S46" s="19">
        <f t="shared" si="31"/>
        <v>1732.57</v>
      </c>
      <c r="T46" s="40">
        <f t="shared" si="28"/>
        <v>1.2100000000000364</v>
      </c>
      <c r="U46" s="43">
        <f t="shared" si="31"/>
        <v>1729.2</v>
      </c>
      <c r="V46" s="19">
        <f t="shared" si="31"/>
        <v>1730.41</v>
      </c>
      <c r="W46" s="44">
        <f t="shared" si="29"/>
        <v>1.2100000000000364</v>
      </c>
      <c r="X46" s="42">
        <f t="shared" si="31"/>
        <v>2768.09</v>
      </c>
      <c r="Y46" s="19">
        <f t="shared" si="31"/>
        <v>2770.03</v>
      </c>
      <c r="Z46" s="40">
        <f t="shared" si="18"/>
        <v>1.9400000000000546</v>
      </c>
    </row>
    <row r="47" spans="1:26" s="45" customFormat="1" ht="13.5" outlineLevel="1">
      <c r="A47" s="46"/>
      <c r="B47" s="187" t="s">
        <v>49</v>
      </c>
      <c r="C47" s="61">
        <f>+C127</f>
        <v>16148</v>
      </c>
      <c r="D47" s="61">
        <f>+D127</f>
        <v>17458</v>
      </c>
      <c r="E47" s="41">
        <f t="shared" si="10"/>
        <v>1310</v>
      </c>
      <c r="F47" s="43">
        <f aca="true" t="shared" si="32" ref="F47:Y47">+F127</f>
        <v>5149.159999999999</v>
      </c>
      <c r="G47" s="19">
        <f t="shared" si="32"/>
        <v>5566.880000000001</v>
      </c>
      <c r="H47" s="40">
        <f t="shared" si="24"/>
        <v>417.7200000000021</v>
      </c>
      <c r="I47" s="43">
        <f t="shared" si="32"/>
        <v>1671.94</v>
      </c>
      <c r="J47" s="19">
        <f t="shared" si="32"/>
        <v>1807.58</v>
      </c>
      <c r="K47" s="44">
        <f t="shared" si="25"/>
        <v>135.63999999999987</v>
      </c>
      <c r="L47" s="42">
        <f t="shared" si="32"/>
        <v>3691.6</v>
      </c>
      <c r="M47" s="19">
        <f t="shared" si="32"/>
        <v>3991.08</v>
      </c>
      <c r="N47" s="40">
        <f t="shared" si="26"/>
        <v>299.48</v>
      </c>
      <c r="O47" s="43">
        <f t="shared" si="32"/>
        <v>1736.84</v>
      </c>
      <c r="P47" s="19">
        <f t="shared" si="32"/>
        <v>1877.74</v>
      </c>
      <c r="Q47" s="44">
        <f t="shared" si="27"/>
        <v>140.9000000000001</v>
      </c>
      <c r="R47" s="42">
        <f t="shared" si="32"/>
        <v>1083.64</v>
      </c>
      <c r="S47" s="19">
        <f t="shared" si="32"/>
        <v>1171.55</v>
      </c>
      <c r="T47" s="40">
        <f t="shared" si="28"/>
        <v>87.90999999999985</v>
      </c>
      <c r="U47" s="43">
        <f t="shared" si="32"/>
        <v>1082.29</v>
      </c>
      <c r="V47" s="19">
        <f t="shared" si="32"/>
        <v>1170.09</v>
      </c>
      <c r="W47" s="44">
        <f t="shared" si="29"/>
        <v>87.79999999999995</v>
      </c>
      <c r="X47" s="42">
        <f t="shared" si="32"/>
        <v>1732.53</v>
      </c>
      <c r="Y47" s="19">
        <f t="shared" si="32"/>
        <v>1873.08</v>
      </c>
      <c r="Z47" s="40">
        <f t="shared" si="18"/>
        <v>140.54999999999995</v>
      </c>
    </row>
    <row r="48" spans="1:26" s="45" customFormat="1" ht="13.5" outlineLevel="1">
      <c r="A48" s="46"/>
      <c r="B48" s="187" t="s">
        <v>50</v>
      </c>
      <c r="C48" s="61">
        <f>+C136</f>
        <v>23500.68</v>
      </c>
      <c r="D48" s="61">
        <f>+D136</f>
        <v>23500.68</v>
      </c>
      <c r="E48" s="41">
        <f t="shared" si="10"/>
        <v>0</v>
      </c>
      <c r="F48" s="43">
        <f aca="true" t="shared" si="33" ref="F48:Y48">+F136</f>
        <v>7493.730000000001</v>
      </c>
      <c r="G48" s="19">
        <f t="shared" si="33"/>
        <v>7493.730000000001</v>
      </c>
      <c r="H48" s="40">
        <f t="shared" si="24"/>
        <v>0</v>
      </c>
      <c r="I48" s="43">
        <f t="shared" si="33"/>
        <v>2433.23</v>
      </c>
      <c r="J48" s="19">
        <f t="shared" si="33"/>
        <v>2433.23</v>
      </c>
      <c r="K48" s="44">
        <f t="shared" si="25"/>
        <v>0</v>
      </c>
      <c r="L48" s="42">
        <f t="shared" si="33"/>
        <v>5372.5</v>
      </c>
      <c r="M48" s="19">
        <f t="shared" si="33"/>
        <v>5372.5</v>
      </c>
      <c r="N48" s="40">
        <f t="shared" si="26"/>
        <v>0</v>
      </c>
      <c r="O48" s="43">
        <f t="shared" si="33"/>
        <v>2527.67</v>
      </c>
      <c r="P48" s="19">
        <f t="shared" si="33"/>
        <v>2527.67</v>
      </c>
      <c r="Q48" s="44">
        <f t="shared" si="27"/>
        <v>0</v>
      </c>
      <c r="R48" s="42">
        <f t="shared" si="33"/>
        <v>1577.06</v>
      </c>
      <c r="S48" s="19">
        <f t="shared" si="33"/>
        <v>1577.06</v>
      </c>
      <c r="T48" s="40">
        <f t="shared" si="28"/>
        <v>0</v>
      </c>
      <c r="U48" s="43">
        <f t="shared" si="33"/>
        <v>1575.09</v>
      </c>
      <c r="V48" s="19">
        <f t="shared" si="33"/>
        <v>1575.09</v>
      </c>
      <c r="W48" s="44">
        <f t="shared" si="29"/>
        <v>0</v>
      </c>
      <c r="X48" s="42">
        <f t="shared" si="33"/>
        <v>2521.4</v>
      </c>
      <c r="Y48" s="19">
        <f t="shared" si="33"/>
        <v>2521.4</v>
      </c>
      <c r="Z48" s="40">
        <f t="shared" si="18"/>
        <v>0</v>
      </c>
    </row>
    <row r="49" spans="1:26" s="45" customFormat="1" ht="13.5" outlineLevel="1">
      <c r="A49" s="46"/>
      <c r="B49" s="187" t="s">
        <v>92</v>
      </c>
      <c r="C49" s="61">
        <f>+C131</f>
        <v>25100</v>
      </c>
      <c r="D49" s="61">
        <f>+D131</f>
        <v>17850</v>
      </c>
      <c r="E49" s="41">
        <f t="shared" si="10"/>
        <v>-7250</v>
      </c>
      <c r="F49" s="43">
        <f aca="true" t="shared" si="34" ref="F49:Y49">+F131</f>
        <v>8003.720000000001</v>
      </c>
      <c r="G49" s="19">
        <f t="shared" si="34"/>
        <v>5691.879999999999</v>
      </c>
      <c r="H49" s="40">
        <f t="shared" si="24"/>
        <v>-2311.840000000002</v>
      </c>
      <c r="I49" s="43">
        <f t="shared" si="34"/>
        <v>2598.82</v>
      </c>
      <c r="J49" s="19">
        <f t="shared" si="34"/>
        <v>1848.16</v>
      </c>
      <c r="K49" s="44">
        <f t="shared" si="25"/>
        <v>-750.6600000000001</v>
      </c>
      <c r="L49" s="42">
        <f t="shared" si="34"/>
        <v>5738.12</v>
      </c>
      <c r="M49" s="19">
        <f t="shared" si="34"/>
        <v>4080.7</v>
      </c>
      <c r="N49" s="40">
        <f t="shared" si="26"/>
        <v>-1657.42</v>
      </c>
      <c r="O49" s="43">
        <f t="shared" si="34"/>
        <v>2699.69</v>
      </c>
      <c r="P49" s="19">
        <f t="shared" si="34"/>
        <v>1919.9</v>
      </c>
      <c r="Q49" s="44">
        <f t="shared" si="27"/>
        <v>-779.79</v>
      </c>
      <c r="R49" s="42">
        <f t="shared" si="34"/>
        <v>1684.38</v>
      </c>
      <c r="S49" s="19">
        <f t="shared" si="34"/>
        <v>1197.86</v>
      </c>
      <c r="T49" s="40">
        <f t="shared" si="28"/>
        <v>-486.5200000000002</v>
      </c>
      <c r="U49" s="43">
        <f t="shared" si="34"/>
        <v>1682.28</v>
      </c>
      <c r="V49" s="19">
        <f t="shared" si="34"/>
        <v>1196.36</v>
      </c>
      <c r="W49" s="44">
        <f t="shared" si="29"/>
        <v>-485.9200000000001</v>
      </c>
      <c r="X49" s="42">
        <f t="shared" si="34"/>
        <v>2692.99</v>
      </c>
      <c r="Y49" s="19">
        <f t="shared" si="34"/>
        <v>1915.14</v>
      </c>
      <c r="Z49" s="40">
        <f t="shared" si="18"/>
        <v>-777.8499999999997</v>
      </c>
    </row>
    <row r="50" spans="1:26" s="45" customFormat="1" ht="13.5" outlineLevel="1">
      <c r="A50" s="46"/>
      <c r="B50" s="187" t="s">
        <v>93</v>
      </c>
      <c r="C50" s="61">
        <f>+C128</f>
        <v>400</v>
      </c>
      <c r="D50" s="61">
        <f>+D128</f>
        <v>215.22</v>
      </c>
      <c r="E50" s="41">
        <f t="shared" si="10"/>
        <v>-184.78</v>
      </c>
      <c r="F50" s="43">
        <f aca="true" t="shared" si="35" ref="F50:Y50">+F128</f>
        <v>127.54999999999997</v>
      </c>
      <c r="G50" s="19">
        <f t="shared" si="35"/>
        <v>68.64</v>
      </c>
      <c r="H50" s="40">
        <f t="shared" si="24"/>
        <v>-58.90999999999997</v>
      </c>
      <c r="I50" s="43">
        <f t="shared" si="35"/>
        <v>41.42</v>
      </c>
      <c r="J50" s="19">
        <f t="shared" si="35"/>
        <v>22.28</v>
      </c>
      <c r="K50" s="44">
        <f t="shared" si="25"/>
        <v>-19.14</v>
      </c>
      <c r="L50" s="42">
        <f t="shared" si="35"/>
        <v>91.44</v>
      </c>
      <c r="M50" s="19">
        <f t="shared" si="35"/>
        <v>49.2</v>
      </c>
      <c r="N50" s="40">
        <f t="shared" si="26"/>
        <v>-42.239999999999995</v>
      </c>
      <c r="O50" s="43">
        <f t="shared" si="35"/>
        <v>43.02</v>
      </c>
      <c r="P50" s="19">
        <f t="shared" si="35"/>
        <v>23.15</v>
      </c>
      <c r="Q50" s="44">
        <f t="shared" si="27"/>
        <v>-19.870000000000005</v>
      </c>
      <c r="R50" s="42">
        <f t="shared" si="35"/>
        <v>26.84</v>
      </c>
      <c r="S50" s="19">
        <f t="shared" si="35"/>
        <v>14.44</v>
      </c>
      <c r="T50" s="40">
        <f t="shared" si="28"/>
        <v>-12.4</v>
      </c>
      <c r="U50" s="43">
        <f t="shared" si="35"/>
        <v>26.81</v>
      </c>
      <c r="V50" s="19">
        <f t="shared" si="35"/>
        <v>14.42</v>
      </c>
      <c r="W50" s="44">
        <f t="shared" si="29"/>
        <v>-12.389999999999999</v>
      </c>
      <c r="X50" s="42">
        <f t="shared" si="35"/>
        <v>42.92</v>
      </c>
      <c r="Y50" s="19">
        <f t="shared" si="35"/>
        <v>23.09</v>
      </c>
      <c r="Z50" s="40">
        <f t="shared" si="18"/>
        <v>-19.830000000000002</v>
      </c>
    </row>
    <row r="51" spans="1:26" s="45" customFormat="1" ht="13.5" outlineLevel="1">
      <c r="A51" s="46"/>
      <c r="B51" s="187" t="s">
        <v>94</v>
      </c>
      <c r="C51" s="61">
        <f>+C135</f>
        <v>2500</v>
      </c>
      <c r="D51" s="61">
        <f>+D135</f>
        <v>2300</v>
      </c>
      <c r="E51" s="41">
        <f t="shared" si="10"/>
        <v>-200</v>
      </c>
      <c r="F51" s="43">
        <f aca="true" t="shared" si="36" ref="F51:Y51">+F135</f>
        <v>797.1700000000001</v>
      </c>
      <c r="G51" s="19">
        <f t="shared" si="36"/>
        <v>733.4100000000004</v>
      </c>
      <c r="H51" s="40">
        <f t="shared" si="24"/>
        <v>-63.75999999999965</v>
      </c>
      <c r="I51" s="43">
        <f t="shared" si="36"/>
        <v>258.85</v>
      </c>
      <c r="J51" s="19">
        <f t="shared" si="36"/>
        <v>238.14</v>
      </c>
      <c r="K51" s="44">
        <f t="shared" si="25"/>
        <v>-20.710000000000036</v>
      </c>
      <c r="L51" s="42">
        <f t="shared" si="36"/>
        <v>571.53</v>
      </c>
      <c r="M51" s="19">
        <f t="shared" si="36"/>
        <v>525.8</v>
      </c>
      <c r="N51" s="40">
        <f t="shared" si="26"/>
        <v>-45.73000000000002</v>
      </c>
      <c r="O51" s="43">
        <f t="shared" si="36"/>
        <v>268.89</v>
      </c>
      <c r="P51" s="19">
        <f t="shared" si="36"/>
        <v>247.38</v>
      </c>
      <c r="Q51" s="44">
        <f t="shared" si="27"/>
        <v>-21.50999999999999</v>
      </c>
      <c r="R51" s="42">
        <f t="shared" si="36"/>
        <v>167.77</v>
      </c>
      <c r="S51" s="19">
        <f t="shared" si="36"/>
        <v>154.35</v>
      </c>
      <c r="T51" s="40">
        <f t="shared" si="28"/>
        <v>-13.420000000000016</v>
      </c>
      <c r="U51" s="43">
        <f t="shared" si="36"/>
        <v>167.56</v>
      </c>
      <c r="V51" s="19">
        <f t="shared" si="36"/>
        <v>154.15</v>
      </c>
      <c r="W51" s="44">
        <f t="shared" si="29"/>
        <v>-13.409999999999997</v>
      </c>
      <c r="X51" s="42">
        <f t="shared" si="36"/>
        <v>268.23</v>
      </c>
      <c r="Y51" s="19">
        <f t="shared" si="36"/>
        <v>246.77</v>
      </c>
      <c r="Z51" s="40">
        <f t="shared" si="18"/>
        <v>-21.460000000000008</v>
      </c>
    </row>
    <row r="52" spans="1:26" s="45" customFormat="1" ht="13.5" outlineLevel="1">
      <c r="A52" s="46"/>
      <c r="B52" s="187" t="s">
        <v>95</v>
      </c>
      <c r="C52" s="61">
        <f>+C132</f>
        <v>1000</v>
      </c>
      <c r="D52" s="61">
        <f>+D132</f>
        <v>0</v>
      </c>
      <c r="E52" s="41">
        <f t="shared" si="10"/>
        <v>-1000</v>
      </c>
      <c r="F52" s="43">
        <f aca="true" t="shared" si="37" ref="F52:Y52">+F132</f>
        <v>318.86999999999995</v>
      </c>
      <c r="G52" s="19">
        <f t="shared" si="37"/>
        <v>0</v>
      </c>
      <c r="H52" s="40">
        <f t="shared" si="24"/>
        <v>-318.86999999999995</v>
      </c>
      <c r="I52" s="43">
        <f t="shared" si="37"/>
        <v>103.54</v>
      </c>
      <c r="J52" s="19">
        <f t="shared" si="37"/>
        <v>0</v>
      </c>
      <c r="K52" s="44">
        <f t="shared" si="25"/>
        <v>-103.54</v>
      </c>
      <c r="L52" s="42">
        <f t="shared" si="37"/>
        <v>228.61</v>
      </c>
      <c r="M52" s="19">
        <f t="shared" si="37"/>
        <v>0</v>
      </c>
      <c r="N52" s="40">
        <f t="shared" si="26"/>
        <v>-228.61</v>
      </c>
      <c r="O52" s="43">
        <f t="shared" si="37"/>
        <v>107.56</v>
      </c>
      <c r="P52" s="19">
        <f t="shared" si="37"/>
        <v>0</v>
      </c>
      <c r="Q52" s="44">
        <f t="shared" si="27"/>
        <v>-107.56</v>
      </c>
      <c r="R52" s="42">
        <f t="shared" si="37"/>
        <v>67.11</v>
      </c>
      <c r="S52" s="19">
        <f t="shared" si="37"/>
        <v>0</v>
      </c>
      <c r="T52" s="40">
        <f t="shared" si="28"/>
        <v>-67.11</v>
      </c>
      <c r="U52" s="43">
        <f t="shared" si="37"/>
        <v>67.02</v>
      </c>
      <c r="V52" s="19">
        <f t="shared" si="37"/>
        <v>0</v>
      </c>
      <c r="W52" s="44">
        <f t="shared" si="29"/>
        <v>-67.02</v>
      </c>
      <c r="X52" s="42">
        <f t="shared" si="37"/>
        <v>107.29</v>
      </c>
      <c r="Y52" s="19">
        <f t="shared" si="37"/>
        <v>0</v>
      </c>
      <c r="Z52" s="40">
        <f t="shared" si="18"/>
        <v>-107.29</v>
      </c>
    </row>
    <row r="53" spans="1:26" s="45" customFormat="1" ht="13.5" outlineLevel="1">
      <c r="A53" s="46"/>
      <c r="B53" s="187" t="s">
        <v>6</v>
      </c>
      <c r="C53" s="61">
        <f>+C150+C137</f>
        <v>249660</v>
      </c>
      <c r="D53" s="61">
        <f>+D150+D137</f>
        <v>250680</v>
      </c>
      <c r="E53" s="41">
        <f t="shared" si="10"/>
        <v>1020</v>
      </c>
      <c r="F53" s="43">
        <f aca="true" t="shared" si="38" ref="F53:Y53">+F150+F137</f>
        <v>104005.25</v>
      </c>
      <c r="G53" s="19">
        <f t="shared" si="38"/>
        <v>104330.49</v>
      </c>
      <c r="H53" s="40">
        <f t="shared" si="24"/>
        <v>325.24000000000524</v>
      </c>
      <c r="I53" s="43">
        <f t="shared" si="38"/>
        <v>32745.61</v>
      </c>
      <c r="J53" s="19">
        <f t="shared" si="38"/>
        <v>32851.22</v>
      </c>
      <c r="K53" s="44">
        <f t="shared" si="25"/>
        <v>105.61000000000058</v>
      </c>
      <c r="L53" s="42">
        <f t="shared" si="38"/>
        <v>21353.18</v>
      </c>
      <c r="M53" s="19">
        <f t="shared" si="38"/>
        <v>21586.37</v>
      </c>
      <c r="N53" s="40">
        <f t="shared" si="26"/>
        <v>233.1899999999987</v>
      </c>
      <c r="O53" s="43">
        <f t="shared" si="38"/>
        <v>18349.71</v>
      </c>
      <c r="P53" s="19">
        <f t="shared" si="38"/>
        <v>18459.42</v>
      </c>
      <c r="Q53" s="44">
        <f t="shared" si="27"/>
        <v>109.70999999999913</v>
      </c>
      <c r="R53" s="42">
        <f t="shared" si="38"/>
        <v>22148.45</v>
      </c>
      <c r="S53" s="19">
        <f t="shared" si="38"/>
        <v>22216.9</v>
      </c>
      <c r="T53" s="40">
        <f t="shared" si="28"/>
        <v>68.45000000000073</v>
      </c>
      <c r="U53" s="43">
        <f t="shared" si="38"/>
        <v>24068.36</v>
      </c>
      <c r="V53" s="19">
        <f t="shared" si="38"/>
        <v>24136.73</v>
      </c>
      <c r="W53" s="44">
        <f t="shared" si="29"/>
        <v>68.36999999999898</v>
      </c>
      <c r="X53" s="42">
        <f t="shared" si="38"/>
        <v>26989.44</v>
      </c>
      <c r="Y53" s="19">
        <f t="shared" si="38"/>
        <v>27098.87</v>
      </c>
      <c r="Z53" s="40">
        <f t="shared" si="18"/>
        <v>109.43000000000029</v>
      </c>
    </row>
    <row r="54" spans="1:26" s="45" customFormat="1" ht="25.5" outlineLevel="1">
      <c r="A54" s="46"/>
      <c r="B54" s="187" t="s">
        <v>152</v>
      </c>
      <c r="C54" s="61">
        <f>+C94</f>
        <v>0</v>
      </c>
      <c r="D54" s="61">
        <f>+D94</f>
        <v>2724.74</v>
      </c>
      <c r="E54" s="41">
        <f t="shared" si="10"/>
        <v>2724.74</v>
      </c>
      <c r="F54" s="43">
        <f aca="true" t="shared" si="39" ref="F54:Y54">+F94</f>
        <v>0</v>
      </c>
      <c r="G54" s="19">
        <f t="shared" si="39"/>
        <v>0</v>
      </c>
      <c r="H54" s="40">
        <f t="shared" si="24"/>
        <v>0</v>
      </c>
      <c r="I54" s="43">
        <f t="shared" si="39"/>
        <v>0</v>
      </c>
      <c r="J54" s="19">
        <f t="shared" si="39"/>
        <v>0</v>
      </c>
      <c r="K54" s="44">
        <f t="shared" si="25"/>
        <v>0</v>
      </c>
      <c r="L54" s="42">
        <f t="shared" si="39"/>
        <v>0</v>
      </c>
      <c r="M54" s="19">
        <f t="shared" si="39"/>
        <v>0</v>
      </c>
      <c r="N54" s="40">
        <f t="shared" si="26"/>
        <v>0</v>
      </c>
      <c r="O54" s="43">
        <f t="shared" si="39"/>
        <v>0</v>
      </c>
      <c r="P54" s="19">
        <f t="shared" si="39"/>
        <v>1634.84</v>
      </c>
      <c r="Q54" s="44">
        <f t="shared" si="27"/>
        <v>1634.84</v>
      </c>
      <c r="R54" s="42">
        <f t="shared" si="39"/>
        <v>0</v>
      </c>
      <c r="S54" s="19">
        <f t="shared" si="39"/>
        <v>0</v>
      </c>
      <c r="T54" s="40">
        <f t="shared" si="28"/>
        <v>0</v>
      </c>
      <c r="U54" s="43">
        <f t="shared" si="39"/>
        <v>0</v>
      </c>
      <c r="V54" s="19">
        <f t="shared" si="39"/>
        <v>1089.9</v>
      </c>
      <c r="W54" s="44">
        <f t="shared" si="29"/>
        <v>1089.9</v>
      </c>
      <c r="X54" s="42">
        <f t="shared" si="39"/>
        <v>0</v>
      </c>
      <c r="Y54" s="19">
        <f t="shared" si="39"/>
        <v>0</v>
      </c>
      <c r="Z54" s="40">
        <f t="shared" si="18"/>
        <v>0</v>
      </c>
    </row>
    <row r="55" spans="1:26" s="45" customFormat="1" ht="13.5" outlineLevel="1">
      <c r="A55" s="46"/>
      <c r="B55" s="187" t="s">
        <v>118</v>
      </c>
      <c r="C55" s="61">
        <f>+C101</f>
        <v>0</v>
      </c>
      <c r="D55" s="61">
        <f>+D101</f>
        <v>71662.91</v>
      </c>
      <c r="E55" s="41">
        <f t="shared" si="10"/>
        <v>71662.91</v>
      </c>
      <c r="F55" s="43">
        <f>+F101</f>
        <v>0</v>
      </c>
      <c r="G55" s="19">
        <f>+G101</f>
        <v>0</v>
      </c>
      <c r="H55" s="40">
        <f t="shared" si="24"/>
        <v>0</v>
      </c>
      <c r="I55" s="43">
        <f>+I101</f>
        <v>0</v>
      </c>
      <c r="J55" s="19">
        <f>+J101</f>
        <v>0</v>
      </c>
      <c r="K55" s="44">
        <f t="shared" si="25"/>
        <v>0</v>
      </c>
      <c r="L55" s="42">
        <f>+L101</f>
        <v>0</v>
      </c>
      <c r="M55" s="19">
        <f>+M101</f>
        <v>26567.210000000003</v>
      </c>
      <c r="N55" s="40">
        <f t="shared" si="26"/>
        <v>26567.210000000003</v>
      </c>
      <c r="O55" s="43">
        <f>+O101</f>
        <v>0</v>
      </c>
      <c r="P55" s="19">
        <f>+P101</f>
        <v>13528.5</v>
      </c>
      <c r="Q55" s="44">
        <f t="shared" si="27"/>
        <v>13528.5</v>
      </c>
      <c r="R55" s="42">
        <f>+R101</f>
        <v>0</v>
      </c>
      <c r="S55" s="19">
        <f>+S101</f>
        <v>9019.2</v>
      </c>
      <c r="T55" s="40">
        <f t="shared" si="28"/>
        <v>9019.2</v>
      </c>
      <c r="U55" s="43">
        <f>+U101</f>
        <v>0</v>
      </c>
      <c r="V55" s="19">
        <f>+V101</f>
        <v>9019.2</v>
      </c>
      <c r="W55" s="44">
        <f t="shared" si="29"/>
        <v>9019.2</v>
      </c>
      <c r="X55" s="42">
        <f>+X101</f>
        <v>0</v>
      </c>
      <c r="Y55" s="19">
        <f>+Y101</f>
        <v>13528.800000000001</v>
      </c>
      <c r="Z55" s="40">
        <f t="shared" si="18"/>
        <v>13528.800000000001</v>
      </c>
    </row>
    <row r="56" spans="1:26" s="45" customFormat="1" ht="13.5" outlineLevel="1">
      <c r="A56" s="46"/>
      <c r="B56" s="187" t="s">
        <v>105</v>
      </c>
      <c r="C56" s="61">
        <f>+C103</f>
        <v>0</v>
      </c>
      <c r="D56" s="61">
        <f>+D103</f>
        <v>183972</v>
      </c>
      <c r="E56" s="41">
        <f t="shared" si="10"/>
        <v>183972</v>
      </c>
      <c r="F56" s="43">
        <f>+F103</f>
        <v>0</v>
      </c>
      <c r="G56" s="19">
        <f>+G103</f>
        <v>0</v>
      </c>
      <c r="H56" s="40">
        <f t="shared" si="24"/>
        <v>0</v>
      </c>
      <c r="I56" s="43">
        <f>+I103</f>
        <v>0</v>
      </c>
      <c r="J56" s="19">
        <f>+J103</f>
        <v>183972</v>
      </c>
      <c r="K56" s="44">
        <f t="shared" si="25"/>
        <v>183972</v>
      </c>
      <c r="L56" s="42">
        <f>+L103</f>
        <v>0</v>
      </c>
      <c r="M56" s="19">
        <f>+M103</f>
        <v>0</v>
      </c>
      <c r="N56" s="40">
        <f t="shared" si="26"/>
        <v>0</v>
      </c>
      <c r="O56" s="43">
        <f>+O103</f>
        <v>0</v>
      </c>
      <c r="P56" s="19">
        <f>+P103</f>
        <v>0</v>
      </c>
      <c r="Q56" s="44">
        <f t="shared" si="27"/>
        <v>0</v>
      </c>
      <c r="R56" s="42">
        <f>+R103</f>
        <v>0</v>
      </c>
      <c r="S56" s="19">
        <f>+S103</f>
        <v>0</v>
      </c>
      <c r="T56" s="40">
        <f t="shared" si="28"/>
        <v>0</v>
      </c>
      <c r="U56" s="43">
        <f>+U103</f>
        <v>0</v>
      </c>
      <c r="V56" s="19">
        <f>+V103</f>
        <v>0</v>
      </c>
      <c r="W56" s="44">
        <f t="shared" si="29"/>
        <v>0</v>
      </c>
      <c r="X56" s="42">
        <f>+X103</f>
        <v>0</v>
      </c>
      <c r="Y56" s="19">
        <f>+Y103</f>
        <v>0</v>
      </c>
      <c r="Z56" s="40">
        <f t="shared" si="18"/>
        <v>0</v>
      </c>
    </row>
    <row r="57" spans="1:26" s="45" customFormat="1" ht="13.5" outlineLevel="1">
      <c r="A57" s="46"/>
      <c r="B57" s="187" t="s">
        <v>106</v>
      </c>
      <c r="C57" s="61">
        <f>+C107</f>
        <v>0</v>
      </c>
      <c r="D57" s="61">
        <f>+D107</f>
        <v>0</v>
      </c>
      <c r="E57" s="41">
        <f t="shared" si="10"/>
        <v>0</v>
      </c>
      <c r="F57" s="43">
        <f>+F107</f>
        <v>0</v>
      </c>
      <c r="G57" s="19">
        <f>+G107</f>
        <v>0</v>
      </c>
      <c r="H57" s="40">
        <f t="shared" si="24"/>
        <v>0</v>
      </c>
      <c r="I57" s="43">
        <f>+I107</f>
        <v>0</v>
      </c>
      <c r="J57" s="19">
        <f>+J107</f>
        <v>0</v>
      </c>
      <c r="K57" s="44">
        <f t="shared" si="25"/>
        <v>0</v>
      </c>
      <c r="L57" s="42">
        <f>+L107</f>
        <v>0</v>
      </c>
      <c r="M57" s="19">
        <f>+M107</f>
        <v>0</v>
      </c>
      <c r="N57" s="40">
        <f t="shared" si="26"/>
        <v>0</v>
      </c>
      <c r="O57" s="43">
        <f>+O107</f>
        <v>0</v>
      </c>
      <c r="P57" s="19">
        <f>+P107</f>
        <v>0</v>
      </c>
      <c r="Q57" s="44">
        <f t="shared" si="27"/>
        <v>0</v>
      </c>
      <c r="R57" s="42">
        <f>+R107</f>
        <v>0</v>
      </c>
      <c r="S57" s="19">
        <f>+S107</f>
        <v>0</v>
      </c>
      <c r="T57" s="40">
        <f t="shared" si="28"/>
        <v>0</v>
      </c>
      <c r="U57" s="43">
        <f>+U107</f>
        <v>0</v>
      </c>
      <c r="V57" s="19">
        <f>+V107</f>
        <v>0</v>
      </c>
      <c r="W57" s="44">
        <f t="shared" si="29"/>
        <v>0</v>
      </c>
      <c r="X57" s="42">
        <f>+X107</f>
        <v>0</v>
      </c>
      <c r="Y57" s="19">
        <f>+Y107</f>
        <v>0</v>
      </c>
      <c r="Z57" s="40">
        <f t="shared" si="18"/>
        <v>0</v>
      </c>
    </row>
    <row r="58" spans="1:26" s="45" customFormat="1" ht="13.5" outlineLevel="1">
      <c r="A58" s="46"/>
      <c r="B58" s="187" t="s">
        <v>112</v>
      </c>
      <c r="C58" s="61">
        <f>+C130</f>
        <v>9888</v>
      </c>
      <c r="D58" s="61">
        <f>+D130</f>
        <v>9600</v>
      </c>
      <c r="E58" s="41">
        <f t="shared" si="10"/>
        <v>-288</v>
      </c>
      <c r="F58" s="43">
        <f>+F130</f>
        <v>3153.0099999999993</v>
      </c>
      <c r="G58" s="19">
        <f>+G130</f>
        <v>3061.1800000000003</v>
      </c>
      <c r="H58" s="40">
        <f t="shared" si="24"/>
        <v>-91.82999999999902</v>
      </c>
      <c r="I58" s="43">
        <f>+I130</f>
        <v>1023.79</v>
      </c>
      <c r="J58" s="19">
        <f>+J130</f>
        <v>993.97</v>
      </c>
      <c r="K58" s="44">
        <f t="shared" si="25"/>
        <v>-29.819999999999936</v>
      </c>
      <c r="L58" s="42">
        <f>+L130</f>
        <v>2260.5</v>
      </c>
      <c r="M58" s="19">
        <f>+M130</f>
        <v>2194.66</v>
      </c>
      <c r="N58" s="40">
        <f t="shared" si="26"/>
        <v>-65.84000000000015</v>
      </c>
      <c r="O58" s="43">
        <f>+O130</f>
        <v>1063.53</v>
      </c>
      <c r="P58" s="19">
        <f>+P130</f>
        <v>1032.55</v>
      </c>
      <c r="Q58" s="44">
        <f t="shared" si="27"/>
        <v>-30.980000000000018</v>
      </c>
      <c r="R58" s="42">
        <f>+R130</f>
        <v>663.55</v>
      </c>
      <c r="S58" s="19">
        <f>+S130</f>
        <v>644.23</v>
      </c>
      <c r="T58" s="40">
        <f t="shared" si="28"/>
        <v>-19.319999999999936</v>
      </c>
      <c r="U58" s="43">
        <f>+U130</f>
        <v>662.73</v>
      </c>
      <c r="V58" s="19">
        <f>+V130</f>
        <v>643.42</v>
      </c>
      <c r="W58" s="44">
        <f t="shared" si="29"/>
        <v>-19.31000000000006</v>
      </c>
      <c r="X58" s="42">
        <f>+X130</f>
        <v>1060.89</v>
      </c>
      <c r="Y58" s="19">
        <f>+Y130</f>
        <v>1029.99</v>
      </c>
      <c r="Z58" s="40">
        <f t="shared" si="18"/>
        <v>-30.90000000000009</v>
      </c>
    </row>
    <row r="59" spans="1:26" s="45" customFormat="1" ht="25.5" outlineLevel="1">
      <c r="A59" s="46"/>
      <c r="B59" s="187" t="s">
        <v>109</v>
      </c>
      <c r="C59" s="61">
        <f>+C133</f>
        <v>0</v>
      </c>
      <c r="D59" s="61">
        <f>+D133</f>
        <v>0</v>
      </c>
      <c r="E59" s="41">
        <f t="shared" si="10"/>
        <v>0</v>
      </c>
      <c r="F59" s="43">
        <f>+F133</f>
        <v>0</v>
      </c>
      <c r="G59" s="19">
        <f>+G133</f>
        <v>0</v>
      </c>
      <c r="H59" s="40">
        <f t="shared" si="24"/>
        <v>0</v>
      </c>
      <c r="I59" s="43">
        <f>+I133</f>
        <v>0</v>
      </c>
      <c r="J59" s="19">
        <f>+J133</f>
        <v>0</v>
      </c>
      <c r="K59" s="44">
        <f t="shared" si="25"/>
        <v>0</v>
      </c>
      <c r="L59" s="42">
        <f>+L133</f>
        <v>0</v>
      </c>
      <c r="M59" s="19">
        <f>+M133</f>
        <v>0</v>
      </c>
      <c r="N59" s="40">
        <f t="shared" si="26"/>
        <v>0</v>
      </c>
      <c r="O59" s="43">
        <f>+O133</f>
        <v>0</v>
      </c>
      <c r="P59" s="19">
        <f>+P133</f>
        <v>0</v>
      </c>
      <c r="Q59" s="44">
        <f t="shared" si="27"/>
        <v>0</v>
      </c>
      <c r="R59" s="42">
        <f>+R133</f>
        <v>0</v>
      </c>
      <c r="S59" s="19">
        <f>+S133</f>
        <v>0</v>
      </c>
      <c r="T59" s="40">
        <f t="shared" si="28"/>
        <v>0</v>
      </c>
      <c r="U59" s="43">
        <f>+U133</f>
        <v>0</v>
      </c>
      <c r="V59" s="19">
        <f>+V133</f>
        <v>0</v>
      </c>
      <c r="W59" s="44">
        <f t="shared" si="29"/>
        <v>0</v>
      </c>
      <c r="X59" s="42">
        <f>+X133</f>
        <v>0</v>
      </c>
      <c r="Y59" s="19">
        <f>+Y133</f>
        <v>0</v>
      </c>
      <c r="Z59" s="40">
        <f t="shared" si="18"/>
        <v>0</v>
      </c>
    </row>
    <row r="60" spans="1:26" s="45" customFormat="1" ht="13.5" outlineLevel="1">
      <c r="A60" s="46"/>
      <c r="B60" s="187" t="s">
        <v>116</v>
      </c>
      <c r="C60" s="61">
        <f>+C153</f>
        <v>62400</v>
      </c>
      <c r="D60" s="61">
        <f>+D153</f>
        <v>62400</v>
      </c>
      <c r="E60" s="41">
        <f t="shared" si="10"/>
        <v>0</v>
      </c>
      <c r="F60" s="43">
        <f aca="true" t="shared" si="40" ref="F60:G63">+F153</f>
        <v>46800</v>
      </c>
      <c r="G60" s="19">
        <f t="shared" si="40"/>
        <v>46800</v>
      </c>
      <c r="H60" s="40">
        <f t="shared" si="24"/>
        <v>0</v>
      </c>
      <c r="I60" s="43">
        <f aca="true" t="shared" si="41" ref="I60:J63">+I153</f>
        <v>15600</v>
      </c>
      <c r="J60" s="19">
        <f t="shared" si="41"/>
        <v>15600</v>
      </c>
      <c r="K60" s="44">
        <f t="shared" si="25"/>
        <v>0</v>
      </c>
      <c r="L60" s="42">
        <f aca="true" t="shared" si="42" ref="L60:M63">+L153</f>
        <v>0</v>
      </c>
      <c r="M60" s="19">
        <f t="shared" si="42"/>
        <v>0</v>
      </c>
      <c r="N60" s="40">
        <f t="shared" si="26"/>
        <v>0</v>
      </c>
      <c r="O60" s="43">
        <f aca="true" t="shared" si="43" ref="O60:P63">+O153</f>
        <v>0</v>
      </c>
      <c r="P60" s="19">
        <f t="shared" si="43"/>
        <v>0</v>
      </c>
      <c r="Q60" s="44">
        <f t="shared" si="27"/>
        <v>0</v>
      </c>
      <c r="R60" s="42">
        <f aca="true" t="shared" si="44" ref="R60:S63">+R153</f>
        <v>0</v>
      </c>
      <c r="S60" s="19">
        <f t="shared" si="44"/>
        <v>0</v>
      </c>
      <c r="T60" s="40">
        <f t="shared" si="28"/>
        <v>0</v>
      </c>
      <c r="U60" s="43">
        <f aca="true" t="shared" si="45" ref="U60:V63">+U153</f>
        <v>0</v>
      </c>
      <c r="V60" s="19">
        <f t="shared" si="45"/>
        <v>0</v>
      </c>
      <c r="W60" s="44">
        <f t="shared" si="29"/>
        <v>0</v>
      </c>
      <c r="X60" s="42">
        <f aca="true" t="shared" si="46" ref="X60:Y63">+X153</f>
        <v>0</v>
      </c>
      <c r="Y60" s="19">
        <f t="shared" si="46"/>
        <v>0</v>
      </c>
      <c r="Z60" s="40">
        <f t="shared" si="18"/>
        <v>0</v>
      </c>
    </row>
    <row r="61" spans="1:26" s="45" customFormat="1" ht="25.5" outlineLevel="1">
      <c r="A61" s="46"/>
      <c r="B61" s="187" t="s">
        <v>120</v>
      </c>
      <c r="C61" s="61">
        <f aca="true" t="shared" si="47" ref="C61:D63">+C154</f>
        <v>140300</v>
      </c>
      <c r="D61" s="61">
        <f t="shared" si="47"/>
        <v>347150</v>
      </c>
      <c r="E61" s="41">
        <f t="shared" si="10"/>
        <v>206850</v>
      </c>
      <c r="F61" s="43">
        <f t="shared" si="40"/>
        <v>14400</v>
      </c>
      <c r="G61" s="19">
        <f t="shared" si="40"/>
        <v>92300</v>
      </c>
      <c r="H61" s="40">
        <f t="shared" si="24"/>
        <v>77900</v>
      </c>
      <c r="I61" s="43">
        <f t="shared" si="41"/>
        <v>8300</v>
      </c>
      <c r="J61" s="19">
        <f t="shared" si="41"/>
        <v>96000</v>
      </c>
      <c r="K61" s="44">
        <f t="shared" si="25"/>
        <v>87700</v>
      </c>
      <c r="L61" s="42">
        <f t="shared" si="42"/>
        <v>4800</v>
      </c>
      <c r="M61" s="19">
        <f t="shared" si="42"/>
        <v>44300</v>
      </c>
      <c r="N61" s="40">
        <f t="shared" si="26"/>
        <v>39500</v>
      </c>
      <c r="O61" s="43">
        <f t="shared" si="43"/>
        <v>24000</v>
      </c>
      <c r="P61" s="19">
        <f t="shared" si="43"/>
        <v>42550</v>
      </c>
      <c r="Q61" s="44">
        <f t="shared" si="27"/>
        <v>18550</v>
      </c>
      <c r="R61" s="42">
        <f t="shared" si="44"/>
        <v>24000</v>
      </c>
      <c r="S61" s="19">
        <f t="shared" si="44"/>
        <v>14400</v>
      </c>
      <c r="T61" s="40">
        <f t="shared" si="28"/>
        <v>-9600</v>
      </c>
      <c r="U61" s="43">
        <f t="shared" si="45"/>
        <v>43200</v>
      </c>
      <c r="V61" s="19">
        <f t="shared" si="45"/>
        <v>0</v>
      </c>
      <c r="W61" s="44">
        <f t="shared" si="29"/>
        <v>-43200</v>
      </c>
      <c r="X61" s="42">
        <f t="shared" si="46"/>
        <v>21600</v>
      </c>
      <c r="Y61" s="19">
        <f t="shared" si="46"/>
        <v>57600</v>
      </c>
      <c r="Z61" s="40">
        <f t="shared" si="18"/>
        <v>36000</v>
      </c>
    </row>
    <row r="62" spans="1:26" s="45" customFormat="1" ht="25.5" outlineLevel="1">
      <c r="A62" s="46"/>
      <c r="B62" s="187" t="s">
        <v>125</v>
      </c>
      <c r="C62" s="61">
        <f t="shared" si="47"/>
        <v>0</v>
      </c>
      <c r="D62" s="61">
        <f t="shared" si="47"/>
        <v>0</v>
      </c>
      <c r="E62" s="41">
        <f t="shared" si="10"/>
        <v>0</v>
      </c>
      <c r="F62" s="43">
        <f t="shared" si="40"/>
        <v>0</v>
      </c>
      <c r="G62" s="19">
        <f t="shared" si="40"/>
        <v>0</v>
      </c>
      <c r="H62" s="40">
        <f t="shared" si="24"/>
        <v>0</v>
      </c>
      <c r="I62" s="43">
        <f t="shared" si="41"/>
        <v>0</v>
      </c>
      <c r="J62" s="19">
        <f t="shared" si="41"/>
        <v>0</v>
      </c>
      <c r="K62" s="44">
        <f t="shared" si="25"/>
        <v>0</v>
      </c>
      <c r="L62" s="42">
        <f t="shared" si="42"/>
        <v>0</v>
      </c>
      <c r="M62" s="19">
        <f t="shared" si="42"/>
        <v>0</v>
      </c>
      <c r="N62" s="40">
        <f t="shared" si="26"/>
        <v>0</v>
      </c>
      <c r="O62" s="43">
        <f t="shared" si="43"/>
        <v>0</v>
      </c>
      <c r="P62" s="19">
        <f t="shared" si="43"/>
        <v>0</v>
      </c>
      <c r="Q62" s="44">
        <f t="shared" si="27"/>
        <v>0</v>
      </c>
      <c r="R62" s="42">
        <f t="shared" si="44"/>
        <v>0</v>
      </c>
      <c r="S62" s="19">
        <f t="shared" si="44"/>
        <v>0</v>
      </c>
      <c r="T62" s="40">
        <f t="shared" si="28"/>
        <v>0</v>
      </c>
      <c r="U62" s="43">
        <f t="shared" si="45"/>
        <v>0</v>
      </c>
      <c r="V62" s="19">
        <f t="shared" si="45"/>
        <v>0</v>
      </c>
      <c r="W62" s="44">
        <f t="shared" si="29"/>
        <v>0</v>
      </c>
      <c r="X62" s="42">
        <f t="shared" si="46"/>
        <v>0</v>
      </c>
      <c r="Y62" s="19">
        <f t="shared" si="46"/>
        <v>0</v>
      </c>
      <c r="Z62" s="40">
        <f t="shared" si="18"/>
        <v>0</v>
      </c>
    </row>
    <row r="63" spans="1:26" s="45" customFormat="1" ht="25.5" outlineLevel="1">
      <c r="A63" s="46"/>
      <c r="B63" s="187" t="s">
        <v>119</v>
      </c>
      <c r="C63" s="61">
        <f t="shared" si="47"/>
        <v>0</v>
      </c>
      <c r="D63" s="61">
        <f t="shared" si="47"/>
        <v>0</v>
      </c>
      <c r="E63" s="41">
        <f t="shared" si="10"/>
        <v>0</v>
      </c>
      <c r="F63" s="43">
        <f t="shared" si="40"/>
        <v>0</v>
      </c>
      <c r="G63" s="19">
        <f t="shared" si="40"/>
        <v>0</v>
      </c>
      <c r="H63" s="40">
        <f t="shared" si="24"/>
        <v>0</v>
      </c>
      <c r="I63" s="43">
        <f t="shared" si="41"/>
        <v>0</v>
      </c>
      <c r="J63" s="19">
        <f t="shared" si="41"/>
        <v>0</v>
      </c>
      <c r="K63" s="44">
        <f t="shared" si="25"/>
        <v>0</v>
      </c>
      <c r="L63" s="42">
        <f t="shared" si="42"/>
        <v>0</v>
      </c>
      <c r="M63" s="19">
        <f t="shared" si="42"/>
        <v>0</v>
      </c>
      <c r="N63" s="40">
        <f t="shared" si="26"/>
        <v>0</v>
      </c>
      <c r="O63" s="43">
        <f t="shared" si="43"/>
        <v>0</v>
      </c>
      <c r="P63" s="19">
        <f t="shared" si="43"/>
        <v>0</v>
      </c>
      <c r="Q63" s="44">
        <f t="shared" si="27"/>
        <v>0</v>
      </c>
      <c r="R63" s="42">
        <f t="shared" si="44"/>
        <v>0</v>
      </c>
      <c r="S63" s="19">
        <f t="shared" si="44"/>
        <v>0</v>
      </c>
      <c r="T63" s="40">
        <f t="shared" si="28"/>
        <v>0</v>
      </c>
      <c r="U63" s="43">
        <f t="shared" si="45"/>
        <v>0</v>
      </c>
      <c r="V63" s="19">
        <f t="shared" si="45"/>
        <v>0</v>
      </c>
      <c r="W63" s="44">
        <f t="shared" si="29"/>
        <v>0</v>
      </c>
      <c r="X63" s="42">
        <f t="shared" si="46"/>
        <v>0</v>
      </c>
      <c r="Y63" s="19">
        <f t="shared" si="46"/>
        <v>0</v>
      </c>
      <c r="Z63" s="40">
        <f t="shared" si="18"/>
        <v>0</v>
      </c>
    </row>
    <row r="64" spans="1:26" s="45" customFormat="1" ht="25.5" outlineLevel="1">
      <c r="A64" s="46"/>
      <c r="B64" s="187" t="s">
        <v>96</v>
      </c>
      <c r="C64" s="61">
        <f>+C152</f>
        <v>56000</v>
      </c>
      <c r="D64" s="61">
        <f>+D152</f>
        <v>56000</v>
      </c>
      <c r="E64" s="41">
        <f t="shared" si="10"/>
        <v>0</v>
      </c>
      <c r="F64" s="43">
        <f>+F152</f>
        <v>24000</v>
      </c>
      <c r="G64" s="19">
        <f>+G152</f>
        <v>24000</v>
      </c>
      <c r="H64" s="40">
        <f t="shared" si="24"/>
        <v>0</v>
      </c>
      <c r="I64" s="43">
        <f>+I152</f>
        <v>8000</v>
      </c>
      <c r="J64" s="19">
        <f>+J152</f>
        <v>8000</v>
      </c>
      <c r="K64" s="44">
        <f t="shared" si="25"/>
        <v>0</v>
      </c>
      <c r="L64" s="42">
        <f>+L152</f>
        <v>0</v>
      </c>
      <c r="M64" s="19">
        <f>+M152</f>
        <v>0</v>
      </c>
      <c r="N64" s="40">
        <f t="shared" si="26"/>
        <v>0</v>
      </c>
      <c r="O64" s="43">
        <f>+O152</f>
        <v>8000</v>
      </c>
      <c r="P64" s="19">
        <f>+P152</f>
        <v>8000</v>
      </c>
      <c r="Q64" s="44">
        <f t="shared" si="27"/>
        <v>0</v>
      </c>
      <c r="R64" s="42">
        <f>+R152</f>
        <v>8000</v>
      </c>
      <c r="S64" s="19">
        <f>+S152</f>
        <v>8000</v>
      </c>
      <c r="T64" s="40">
        <f t="shared" si="28"/>
        <v>0</v>
      </c>
      <c r="U64" s="43">
        <f>+U152</f>
        <v>0</v>
      </c>
      <c r="V64" s="19">
        <f>+V152</f>
        <v>0</v>
      </c>
      <c r="W64" s="44">
        <f t="shared" si="29"/>
        <v>0</v>
      </c>
      <c r="X64" s="42">
        <f>+X152</f>
        <v>8000</v>
      </c>
      <c r="Y64" s="19">
        <f>+Y152</f>
        <v>8000</v>
      </c>
      <c r="Z64" s="40">
        <f t="shared" si="18"/>
        <v>0</v>
      </c>
    </row>
    <row r="65" spans="1:26" s="45" customFormat="1" ht="13.5" outlineLevel="1">
      <c r="A65" s="46"/>
      <c r="B65" s="117" t="s">
        <v>141</v>
      </c>
      <c r="C65" s="61">
        <f>+C141</f>
        <v>0</v>
      </c>
      <c r="D65" s="61">
        <f>+D141</f>
        <v>38928</v>
      </c>
      <c r="E65" s="41">
        <f>+D65-C65</f>
        <v>38928</v>
      </c>
      <c r="F65" s="43">
        <f>+F141</f>
        <v>0</v>
      </c>
      <c r="G65" s="19">
        <f>+G141</f>
        <v>12413.090000000002</v>
      </c>
      <c r="H65" s="40">
        <f>+G65-F65</f>
        <v>12413.090000000002</v>
      </c>
      <c r="I65" s="43">
        <f>+I141</f>
        <v>0</v>
      </c>
      <c r="J65" s="19">
        <f>+J141</f>
        <v>4030.55</v>
      </c>
      <c r="K65" s="44">
        <f>+J65-I65</f>
        <v>4030.55</v>
      </c>
      <c r="L65" s="42">
        <f>+L141</f>
        <v>0</v>
      </c>
      <c r="M65" s="19">
        <f>+M141</f>
        <v>8899.35</v>
      </c>
      <c r="N65" s="40">
        <f>+M65-L65</f>
        <v>8899.35</v>
      </c>
      <c r="O65" s="43">
        <f>+O141</f>
        <v>0</v>
      </c>
      <c r="P65" s="19">
        <f>+P141</f>
        <v>4186.99</v>
      </c>
      <c r="Q65" s="44">
        <f>+P65-O65</f>
        <v>4186.99</v>
      </c>
      <c r="R65" s="42">
        <f>+R141</f>
        <v>0</v>
      </c>
      <c r="S65" s="19">
        <f>+S141</f>
        <v>2612.34</v>
      </c>
      <c r="T65" s="40">
        <f>+S65-R65</f>
        <v>2612.34</v>
      </c>
      <c r="U65" s="43">
        <f>+U141</f>
        <v>0</v>
      </c>
      <c r="V65" s="19">
        <f>+V141</f>
        <v>2609.08</v>
      </c>
      <c r="W65" s="44">
        <f>+V65-U65</f>
        <v>2609.08</v>
      </c>
      <c r="X65" s="42">
        <f>+X141</f>
        <v>0</v>
      </c>
      <c r="Y65" s="19">
        <f>+Y141</f>
        <v>4176.6</v>
      </c>
      <c r="Z65" s="40">
        <f>+Y65-X65</f>
        <v>4176.6</v>
      </c>
    </row>
    <row r="66" spans="1:26" s="45" customFormat="1" ht="13.5" outlineLevel="1">
      <c r="A66" s="46"/>
      <c r="B66" s="117" t="s">
        <v>142</v>
      </c>
      <c r="C66" s="61">
        <f>+C104+C105</f>
        <v>0</v>
      </c>
      <c r="D66" s="61">
        <f>+D104+D105</f>
        <v>36064.36</v>
      </c>
      <c r="E66" s="41">
        <f>+D66-C66</f>
        <v>36064.36</v>
      </c>
      <c r="F66" s="43">
        <f>+F104+F105</f>
        <v>0</v>
      </c>
      <c r="G66" s="19">
        <f>+G104+G105</f>
        <v>8445.8</v>
      </c>
      <c r="H66" s="40">
        <f>+G66-F66</f>
        <v>8445.8</v>
      </c>
      <c r="I66" s="43">
        <f>+I104+I105</f>
        <v>0</v>
      </c>
      <c r="J66" s="19">
        <f>+J104+J105</f>
        <v>0</v>
      </c>
      <c r="K66" s="44">
        <f>+J66-I66</f>
        <v>0</v>
      </c>
      <c r="L66" s="42">
        <f>+L104+L105</f>
        <v>0</v>
      </c>
      <c r="M66" s="19">
        <f>+M104+M105</f>
        <v>24448.65</v>
      </c>
      <c r="N66" s="40">
        <f>+M66-L66</f>
        <v>24448.65</v>
      </c>
      <c r="O66" s="43">
        <f>+O104+O105</f>
        <v>0</v>
      </c>
      <c r="P66" s="19">
        <f>+P104+P105</f>
        <v>0</v>
      </c>
      <c r="Q66" s="44">
        <f>+P66-O66</f>
        <v>0</v>
      </c>
      <c r="R66" s="42">
        <f>+R104+R105</f>
        <v>0</v>
      </c>
      <c r="S66" s="19">
        <f>+S104+S105</f>
        <v>0</v>
      </c>
      <c r="T66" s="40">
        <f>+S66-R66</f>
        <v>0</v>
      </c>
      <c r="U66" s="43">
        <f>+U104+U105</f>
        <v>0</v>
      </c>
      <c r="V66" s="19">
        <f>+V104+V105</f>
        <v>0</v>
      </c>
      <c r="W66" s="44">
        <f>+V66-U66</f>
        <v>0</v>
      </c>
      <c r="X66" s="42">
        <f>+X104+X105</f>
        <v>0</v>
      </c>
      <c r="Y66" s="19">
        <f>+Y104+Y105</f>
        <v>3169.91</v>
      </c>
      <c r="Z66" s="40">
        <f>+Y66-X66</f>
        <v>3169.91</v>
      </c>
    </row>
    <row r="67" spans="1:26" s="45" customFormat="1" ht="13.5" outlineLevel="1">
      <c r="A67" s="46"/>
      <c r="B67" s="187" t="s">
        <v>97</v>
      </c>
      <c r="C67" s="61">
        <f>+C158</f>
        <v>3446816</v>
      </c>
      <c r="D67" s="61">
        <f>+D158</f>
        <v>4640098</v>
      </c>
      <c r="E67" s="41">
        <f t="shared" si="10"/>
        <v>1193282</v>
      </c>
      <c r="F67" s="43">
        <f>+F158</f>
        <v>186760</v>
      </c>
      <c r="G67" s="19">
        <f>+G158</f>
        <v>608168</v>
      </c>
      <c r="H67" s="40">
        <f t="shared" si="24"/>
        <v>421408</v>
      </c>
      <c r="I67" s="43">
        <f>+I158</f>
        <v>0</v>
      </c>
      <c r="J67" s="19">
        <f>+J158</f>
        <v>222144</v>
      </c>
      <c r="K67" s="44">
        <f t="shared" si="25"/>
        <v>222144</v>
      </c>
      <c r="L67" s="42">
        <f>+L158</f>
        <v>703126</v>
      </c>
      <c r="M67" s="19">
        <f>+M158</f>
        <v>703126</v>
      </c>
      <c r="N67" s="40">
        <f t="shared" si="26"/>
        <v>0</v>
      </c>
      <c r="O67" s="43">
        <f>+O158</f>
        <v>1501690</v>
      </c>
      <c r="P67" s="19">
        <f>+P158</f>
        <v>1501690</v>
      </c>
      <c r="Q67" s="44">
        <f t="shared" si="27"/>
        <v>0</v>
      </c>
      <c r="R67" s="42">
        <f>+R158</f>
        <v>0</v>
      </c>
      <c r="S67" s="19">
        <f>+S158</f>
        <v>274865</v>
      </c>
      <c r="T67" s="40">
        <f t="shared" si="28"/>
        <v>274865</v>
      </c>
      <c r="U67" s="43">
        <f>+U158</f>
        <v>1055240</v>
      </c>
      <c r="V67" s="19">
        <f>+V158</f>
        <v>1055240</v>
      </c>
      <c r="W67" s="44">
        <f t="shared" si="29"/>
        <v>0</v>
      </c>
      <c r="X67" s="42">
        <f>+X158</f>
        <v>0</v>
      </c>
      <c r="Y67" s="19">
        <f>+Y158</f>
        <v>274865</v>
      </c>
      <c r="Z67" s="40">
        <f t="shared" si="18"/>
        <v>274865</v>
      </c>
    </row>
    <row r="68" spans="1:26" s="45" customFormat="1" ht="13.5" outlineLevel="1">
      <c r="A68" s="46">
        <v>7</v>
      </c>
      <c r="B68" s="185" t="s">
        <v>98</v>
      </c>
      <c r="C68" s="61">
        <f>SUM(C69:C71)</f>
        <v>49249.17</v>
      </c>
      <c r="D68" s="61">
        <f>SUM(D69:D71)</f>
        <v>46449.17</v>
      </c>
      <c r="E68" s="41">
        <f t="shared" si="10"/>
        <v>-2800</v>
      </c>
      <c r="F68" s="43">
        <f>SUM(F69:F71)</f>
        <v>6538.2</v>
      </c>
      <c r="G68" s="19">
        <f>SUM(G69:G71)</f>
        <v>4438.2</v>
      </c>
      <c r="H68" s="40">
        <f t="shared" si="24"/>
        <v>-2100</v>
      </c>
      <c r="I68" s="43">
        <f>SUM(I69:I71)</f>
        <v>14062.1</v>
      </c>
      <c r="J68" s="19">
        <f>SUM(J69:J71)</f>
        <v>13362.1</v>
      </c>
      <c r="K68" s="44">
        <f t="shared" si="25"/>
        <v>-700</v>
      </c>
      <c r="L68" s="42">
        <f>SUM(L69:L71)</f>
        <v>13465.35</v>
      </c>
      <c r="M68" s="19">
        <f>SUM(M69:M71)</f>
        <v>13465.35</v>
      </c>
      <c r="N68" s="40">
        <f t="shared" si="26"/>
        <v>0</v>
      </c>
      <c r="O68" s="43">
        <f>SUM(O69:O71)</f>
        <v>5487.46</v>
      </c>
      <c r="P68" s="19">
        <f>SUM(P69:P71)</f>
        <v>5487.46</v>
      </c>
      <c r="Q68" s="44">
        <f t="shared" si="27"/>
        <v>0</v>
      </c>
      <c r="R68" s="42">
        <f>SUM(R69:R71)</f>
        <v>1851.96</v>
      </c>
      <c r="S68" s="19">
        <f>SUM(S69:S71)</f>
        <v>1851.96</v>
      </c>
      <c r="T68" s="40">
        <f t="shared" si="28"/>
        <v>0</v>
      </c>
      <c r="U68" s="43">
        <f>SUM(U69:U71)</f>
        <v>7444.49</v>
      </c>
      <c r="V68" s="19">
        <f>SUM(V69:V71)</f>
        <v>7444.49</v>
      </c>
      <c r="W68" s="44">
        <f t="shared" si="29"/>
        <v>0</v>
      </c>
      <c r="X68" s="42">
        <f>SUM(X69:X71)</f>
        <v>399.61</v>
      </c>
      <c r="Y68" s="19">
        <f>SUM(Y69:Y71)</f>
        <v>399.61</v>
      </c>
      <c r="Z68" s="40">
        <f t="shared" si="18"/>
        <v>0</v>
      </c>
    </row>
    <row r="69" spans="1:26" s="45" customFormat="1" ht="13.5" outlineLevel="1">
      <c r="A69" s="46"/>
      <c r="B69" s="187" t="s">
        <v>99</v>
      </c>
      <c r="C69" s="61">
        <f>+C88</f>
        <v>4000</v>
      </c>
      <c r="D69" s="61">
        <f>+D88</f>
        <v>1200</v>
      </c>
      <c r="E69" s="41">
        <f t="shared" si="10"/>
        <v>-2800</v>
      </c>
      <c r="F69" s="43">
        <f aca="true" t="shared" si="48" ref="F69:Y69">+F88</f>
        <v>3000</v>
      </c>
      <c r="G69" s="19">
        <f t="shared" si="48"/>
        <v>900</v>
      </c>
      <c r="H69" s="40">
        <f t="shared" si="24"/>
        <v>-2100</v>
      </c>
      <c r="I69" s="43">
        <f t="shared" si="48"/>
        <v>1000</v>
      </c>
      <c r="J69" s="19">
        <f t="shared" si="48"/>
        <v>300</v>
      </c>
      <c r="K69" s="44">
        <f t="shared" si="25"/>
        <v>-700</v>
      </c>
      <c r="L69" s="42">
        <f t="shared" si="48"/>
        <v>0</v>
      </c>
      <c r="M69" s="19">
        <f t="shared" si="48"/>
        <v>0</v>
      </c>
      <c r="N69" s="40">
        <f t="shared" si="26"/>
        <v>0</v>
      </c>
      <c r="O69" s="43">
        <f t="shared" si="48"/>
        <v>0</v>
      </c>
      <c r="P69" s="19">
        <f t="shared" si="48"/>
        <v>0</v>
      </c>
      <c r="Q69" s="44">
        <f t="shared" si="27"/>
        <v>0</v>
      </c>
      <c r="R69" s="42">
        <f t="shared" si="48"/>
        <v>0</v>
      </c>
      <c r="S69" s="19">
        <f t="shared" si="48"/>
        <v>0</v>
      </c>
      <c r="T69" s="40">
        <f t="shared" si="28"/>
        <v>0</v>
      </c>
      <c r="U69" s="43">
        <f t="shared" si="48"/>
        <v>0</v>
      </c>
      <c r="V69" s="19">
        <f t="shared" si="48"/>
        <v>0</v>
      </c>
      <c r="W69" s="44">
        <f t="shared" si="29"/>
        <v>0</v>
      </c>
      <c r="X69" s="42">
        <f t="shared" si="48"/>
        <v>0</v>
      </c>
      <c r="Y69" s="19">
        <f t="shared" si="48"/>
        <v>0</v>
      </c>
      <c r="Z69" s="40">
        <f t="shared" si="18"/>
        <v>0</v>
      </c>
    </row>
    <row r="70" spans="1:26" s="45" customFormat="1" ht="25.5" outlineLevel="1">
      <c r="A70" s="46"/>
      <c r="B70" s="187" t="s">
        <v>111</v>
      </c>
      <c r="C70" s="61">
        <f>+C142</f>
        <v>0</v>
      </c>
      <c r="D70" s="61">
        <f>+D142</f>
        <v>0</v>
      </c>
      <c r="E70" s="41">
        <f t="shared" si="10"/>
        <v>0</v>
      </c>
      <c r="F70" s="43">
        <f>+F142</f>
        <v>0</v>
      </c>
      <c r="G70" s="19">
        <f>+G142</f>
        <v>0</v>
      </c>
      <c r="H70" s="40">
        <f t="shared" si="24"/>
        <v>0</v>
      </c>
      <c r="I70" s="43">
        <f>+I142</f>
        <v>0</v>
      </c>
      <c r="J70" s="19">
        <f>+J142</f>
        <v>0</v>
      </c>
      <c r="K70" s="44">
        <f t="shared" si="25"/>
        <v>0</v>
      </c>
      <c r="L70" s="42">
        <f>+L142</f>
        <v>0</v>
      </c>
      <c r="M70" s="19">
        <f>+M142</f>
        <v>0</v>
      </c>
      <c r="N70" s="40">
        <f t="shared" si="26"/>
        <v>0</v>
      </c>
      <c r="O70" s="43">
        <f>+O142</f>
        <v>0</v>
      </c>
      <c r="P70" s="19">
        <f>+P142</f>
        <v>0</v>
      </c>
      <c r="Q70" s="44">
        <f t="shared" si="27"/>
        <v>0</v>
      </c>
      <c r="R70" s="42">
        <f>+R142</f>
        <v>0</v>
      </c>
      <c r="S70" s="19">
        <f>+S142</f>
        <v>0</v>
      </c>
      <c r="T70" s="40">
        <f t="shared" si="28"/>
        <v>0</v>
      </c>
      <c r="U70" s="43">
        <f>+U142</f>
        <v>0</v>
      </c>
      <c r="V70" s="19">
        <f>+V142</f>
        <v>0</v>
      </c>
      <c r="W70" s="44">
        <f t="shared" si="29"/>
        <v>0</v>
      </c>
      <c r="X70" s="42">
        <f>+X142</f>
        <v>0</v>
      </c>
      <c r="Y70" s="19">
        <f>+Y142</f>
        <v>0</v>
      </c>
      <c r="Z70" s="40">
        <f t="shared" si="18"/>
        <v>0</v>
      </c>
    </row>
    <row r="71" spans="1:26" s="45" customFormat="1" ht="13.5" outlineLevel="1">
      <c r="A71" s="46"/>
      <c r="B71" s="187" t="s">
        <v>100</v>
      </c>
      <c r="C71" s="61">
        <f>+C151</f>
        <v>45249.17</v>
      </c>
      <c r="D71" s="61">
        <f>+D151</f>
        <v>45249.17</v>
      </c>
      <c r="E71" s="41">
        <f t="shared" si="10"/>
        <v>0</v>
      </c>
      <c r="F71" s="43">
        <f aca="true" t="shared" si="49" ref="F71:Y71">+F151</f>
        <v>3538.2</v>
      </c>
      <c r="G71" s="19">
        <f t="shared" si="49"/>
        <v>3538.2</v>
      </c>
      <c r="H71" s="40">
        <f t="shared" si="24"/>
        <v>0</v>
      </c>
      <c r="I71" s="43">
        <f t="shared" si="49"/>
        <v>13062.1</v>
      </c>
      <c r="J71" s="19">
        <f t="shared" si="49"/>
        <v>13062.1</v>
      </c>
      <c r="K71" s="44">
        <f t="shared" si="25"/>
        <v>0</v>
      </c>
      <c r="L71" s="42">
        <f t="shared" si="49"/>
        <v>13465.35</v>
      </c>
      <c r="M71" s="19">
        <f t="shared" si="49"/>
        <v>13465.35</v>
      </c>
      <c r="N71" s="40">
        <f t="shared" si="26"/>
        <v>0</v>
      </c>
      <c r="O71" s="43">
        <f t="shared" si="49"/>
        <v>5487.46</v>
      </c>
      <c r="P71" s="19">
        <f t="shared" si="49"/>
        <v>5487.46</v>
      </c>
      <c r="Q71" s="44">
        <f t="shared" si="27"/>
        <v>0</v>
      </c>
      <c r="R71" s="42">
        <f t="shared" si="49"/>
        <v>1851.96</v>
      </c>
      <c r="S71" s="19">
        <f t="shared" si="49"/>
        <v>1851.96</v>
      </c>
      <c r="T71" s="40">
        <f t="shared" si="28"/>
        <v>0</v>
      </c>
      <c r="U71" s="43">
        <f t="shared" si="49"/>
        <v>7444.49</v>
      </c>
      <c r="V71" s="19">
        <f t="shared" si="49"/>
        <v>7444.49</v>
      </c>
      <c r="W71" s="44">
        <f t="shared" si="29"/>
        <v>0</v>
      </c>
      <c r="X71" s="42">
        <f t="shared" si="49"/>
        <v>399.61</v>
      </c>
      <c r="Y71" s="19">
        <f t="shared" si="49"/>
        <v>399.61</v>
      </c>
      <c r="Z71" s="40">
        <f t="shared" si="18"/>
        <v>0</v>
      </c>
    </row>
    <row r="72" spans="1:26" s="45" customFormat="1" ht="14.25" outlineLevel="1" thickBot="1">
      <c r="A72" s="97">
        <v>8</v>
      </c>
      <c r="B72" s="188" t="s">
        <v>101</v>
      </c>
      <c r="C72" s="68">
        <f>+C140</f>
        <v>0</v>
      </c>
      <c r="D72" s="68">
        <f>+D140</f>
        <v>0</v>
      </c>
      <c r="E72" s="99">
        <f t="shared" si="10"/>
        <v>0</v>
      </c>
      <c r="F72" s="102">
        <f aca="true" t="shared" si="50" ref="F72:Y72">+F140</f>
        <v>0</v>
      </c>
      <c r="G72" s="101">
        <f t="shared" si="50"/>
        <v>0</v>
      </c>
      <c r="H72" s="98">
        <f t="shared" si="24"/>
        <v>0</v>
      </c>
      <c r="I72" s="102">
        <f t="shared" si="50"/>
        <v>0</v>
      </c>
      <c r="J72" s="101">
        <f t="shared" si="50"/>
        <v>0</v>
      </c>
      <c r="K72" s="103">
        <f t="shared" si="25"/>
        <v>0</v>
      </c>
      <c r="L72" s="100">
        <f t="shared" si="50"/>
        <v>0</v>
      </c>
      <c r="M72" s="101">
        <f t="shared" si="50"/>
        <v>0</v>
      </c>
      <c r="N72" s="98">
        <f t="shared" si="26"/>
        <v>0</v>
      </c>
      <c r="O72" s="102">
        <f t="shared" si="50"/>
        <v>0</v>
      </c>
      <c r="P72" s="101">
        <f t="shared" si="50"/>
        <v>0</v>
      </c>
      <c r="Q72" s="103">
        <f t="shared" si="27"/>
        <v>0</v>
      </c>
      <c r="R72" s="100">
        <f t="shared" si="50"/>
        <v>0</v>
      </c>
      <c r="S72" s="101">
        <f t="shared" si="50"/>
        <v>0</v>
      </c>
      <c r="T72" s="98">
        <f t="shared" si="28"/>
        <v>0</v>
      </c>
      <c r="U72" s="102">
        <f t="shared" si="50"/>
        <v>0</v>
      </c>
      <c r="V72" s="101">
        <f t="shared" si="50"/>
        <v>0</v>
      </c>
      <c r="W72" s="103">
        <f t="shared" si="29"/>
        <v>0</v>
      </c>
      <c r="X72" s="100">
        <f t="shared" si="50"/>
        <v>0</v>
      </c>
      <c r="Y72" s="101">
        <f t="shared" si="50"/>
        <v>0</v>
      </c>
      <c r="Z72" s="98">
        <f t="shared" si="18"/>
        <v>0</v>
      </c>
    </row>
    <row r="73" spans="1:26" s="56" customFormat="1" ht="14.25" outlineLevel="1" thickBot="1">
      <c r="A73" s="189" t="s">
        <v>102</v>
      </c>
      <c r="B73" s="190"/>
      <c r="C73" s="71">
        <f aca="true" t="shared" si="51" ref="C73:Z73">+C28+C29+C30+C31+C32+C33+C68+C72</f>
        <v>26617004.490000006</v>
      </c>
      <c r="D73" s="71">
        <f t="shared" si="51"/>
        <v>26508622.17</v>
      </c>
      <c r="E73" s="191">
        <f t="shared" si="51"/>
        <v>-108382.32000000286</v>
      </c>
      <c r="F73" s="192">
        <f t="shared" si="51"/>
        <v>8141384.910000001</v>
      </c>
      <c r="G73" s="192">
        <f t="shared" si="51"/>
        <v>7585007.069999999</v>
      </c>
      <c r="H73" s="192">
        <f t="shared" si="51"/>
        <v>-556377.840000001</v>
      </c>
      <c r="I73" s="192">
        <f t="shared" si="51"/>
        <v>2803480.85</v>
      </c>
      <c r="J73" s="192">
        <f t="shared" si="51"/>
        <v>3217711.7899999996</v>
      </c>
      <c r="K73" s="192">
        <f t="shared" si="51"/>
        <v>414230.94000000006</v>
      </c>
      <c r="L73" s="192">
        <f t="shared" si="51"/>
        <v>5255221.83</v>
      </c>
      <c r="M73" s="192">
        <f t="shared" si="51"/>
        <v>5324707.41</v>
      </c>
      <c r="N73" s="192">
        <f t="shared" si="51"/>
        <v>69485.58000000025</v>
      </c>
      <c r="O73" s="192">
        <f t="shared" si="51"/>
        <v>3569454.52</v>
      </c>
      <c r="P73" s="192">
        <f t="shared" si="51"/>
        <v>3352880.3899999997</v>
      </c>
      <c r="Q73" s="192">
        <f t="shared" si="51"/>
        <v>-216574.13000000018</v>
      </c>
      <c r="R73" s="192">
        <f t="shared" si="51"/>
        <v>1535803.99</v>
      </c>
      <c r="S73" s="192">
        <f t="shared" si="51"/>
        <v>1762111.27</v>
      </c>
      <c r="T73" s="192">
        <f t="shared" si="51"/>
        <v>226307.28</v>
      </c>
      <c r="U73" s="192">
        <f t="shared" si="51"/>
        <v>2849523.8300000005</v>
      </c>
      <c r="V73" s="192">
        <f t="shared" si="51"/>
        <v>2746364.6900000004</v>
      </c>
      <c r="W73" s="192">
        <f t="shared" si="51"/>
        <v>-103159.14000000029</v>
      </c>
      <c r="X73" s="192">
        <f t="shared" si="51"/>
        <v>2432134.56</v>
      </c>
      <c r="Y73" s="192">
        <f t="shared" si="51"/>
        <v>2519839.55</v>
      </c>
      <c r="Z73" s="193">
        <f t="shared" si="51"/>
        <v>87704.99000000005</v>
      </c>
    </row>
    <row r="74" spans="1:26" s="195" customFormat="1" ht="13.5" thickBot="1">
      <c r="A74" s="194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 s="45" customFormat="1" ht="13.5" customHeight="1" outlineLevel="1">
      <c r="A75" s="279" t="s">
        <v>74</v>
      </c>
      <c r="B75" s="277" t="s">
        <v>73</v>
      </c>
      <c r="C75" s="272" t="str">
        <f>+C4</f>
        <v>2013г</v>
      </c>
      <c r="D75" s="272"/>
      <c r="E75" s="273" t="s">
        <v>12</v>
      </c>
      <c r="F75" s="275" t="s">
        <v>17</v>
      </c>
      <c r="G75" s="276"/>
      <c r="H75" s="276"/>
      <c r="I75" s="276" t="s">
        <v>18</v>
      </c>
      <c r="J75" s="276"/>
      <c r="K75" s="276"/>
      <c r="L75" s="277" t="s">
        <v>19</v>
      </c>
      <c r="M75" s="277"/>
      <c r="N75" s="277"/>
      <c r="O75" s="277" t="s">
        <v>20</v>
      </c>
      <c r="P75" s="277"/>
      <c r="Q75" s="277"/>
      <c r="R75" s="277" t="s">
        <v>21</v>
      </c>
      <c r="S75" s="277"/>
      <c r="T75" s="277"/>
      <c r="U75" s="277" t="s">
        <v>22</v>
      </c>
      <c r="V75" s="277"/>
      <c r="W75" s="278"/>
      <c r="X75" s="279" t="s">
        <v>23</v>
      </c>
      <c r="Y75" s="277"/>
      <c r="Z75" s="280"/>
    </row>
    <row r="76" spans="1:26" s="45" customFormat="1" ht="28.5" customHeight="1" outlineLevel="1" thickBot="1">
      <c r="A76" s="290"/>
      <c r="B76" s="291"/>
      <c r="C76" s="64" t="s">
        <v>15</v>
      </c>
      <c r="D76" s="72" t="s">
        <v>0</v>
      </c>
      <c r="E76" s="274"/>
      <c r="F76" s="115" t="s">
        <v>35</v>
      </c>
      <c r="G76" s="73" t="s">
        <v>0</v>
      </c>
      <c r="H76" s="73" t="s">
        <v>36</v>
      </c>
      <c r="I76" s="73" t="s">
        <v>35</v>
      </c>
      <c r="J76" s="73" t="s">
        <v>0</v>
      </c>
      <c r="K76" s="73" t="s">
        <v>36</v>
      </c>
      <c r="L76" s="73" t="s">
        <v>35</v>
      </c>
      <c r="M76" s="73" t="s">
        <v>0</v>
      </c>
      <c r="N76" s="73" t="s">
        <v>36</v>
      </c>
      <c r="O76" s="73" t="s">
        <v>35</v>
      </c>
      <c r="P76" s="73" t="s">
        <v>0</v>
      </c>
      <c r="Q76" s="73" t="s">
        <v>36</v>
      </c>
      <c r="R76" s="73" t="s">
        <v>35</v>
      </c>
      <c r="S76" s="73" t="s">
        <v>0</v>
      </c>
      <c r="T76" s="73" t="s">
        <v>36</v>
      </c>
      <c r="U76" s="73" t="s">
        <v>35</v>
      </c>
      <c r="V76" s="73" t="s">
        <v>0</v>
      </c>
      <c r="W76" s="74" t="s">
        <v>36</v>
      </c>
      <c r="X76" s="75" t="s">
        <v>35</v>
      </c>
      <c r="Y76" s="73" t="s">
        <v>0</v>
      </c>
      <c r="Z76" s="76" t="s">
        <v>36</v>
      </c>
    </row>
    <row r="77" spans="1:28" s="196" customFormat="1" ht="47.25" outlineLevel="1">
      <c r="A77" s="77">
        <v>1</v>
      </c>
      <c r="B77" s="78" t="s">
        <v>1</v>
      </c>
      <c r="C77" s="65">
        <f>+C79+C92</f>
        <v>4787968.490000001</v>
      </c>
      <c r="D77" s="79">
        <f>+D79+D92</f>
        <v>5304445.619999999</v>
      </c>
      <c r="E77" s="80">
        <f>+D77-C77</f>
        <v>516477.129999998</v>
      </c>
      <c r="F77" s="83">
        <f>+F79+F92</f>
        <v>1790505.7800000003</v>
      </c>
      <c r="G77" s="82">
        <f>+G79+G92</f>
        <v>1805694.01</v>
      </c>
      <c r="H77" s="80">
        <f>+G77-F77</f>
        <v>15188.229999999749</v>
      </c>
      <c r="I77" s="83">
        <f>+I79+I92</f>
        <v>789590.71</v>
      </c>
      <c r="J77" s="82">
        <f>+J79+J92</f>
        <v>986673.52</v>
      </c>
      <c r="K77" s="80">
        <f>+K79+K92</f>
        <v>197082.81000000017</v>
      </c>
      <c r="L77" s="81">
        <f>+L79+L92</f>
        <v>984579.2300000002</v>
      </c>
      <c r="M77" s="82">
        <f>+M79+M92</f>
        <v>1218343.76</v>
      </c>
      <c r="N77" s="80">
        <f>+M77-L77</f>
        <v>233764.5299999998</v>
      </c>
      <c r="O77" s="81">
        <f>+O79+O92</f>
        <v>384877.5</v>
      </c>
      <c r="P77" s="82">
        <f>+P79+P92</f>
        <v>400423.18</v>
      </c>
      <c r="Q77" s="80">
        <f>+P77-O77</f>
        <v>15545.679999999993</v>
      </c>
      <c r="R77" s="81">
        <f>+R79+R92</f>
        <v>244122.43</v>
      </c>
      <c r="S77" s="82">
        <f>+S79+S92</f>
        <v>265580.82000000007</v>
      </c>
      <c r="T77" s="80">
        <f>+S77-R77</f>
        <v>21458.390000000072</v>
      </c>
      <c r="U77" s="81">
        <f>+U79+U92</f>
        <v>229598.69999999998</v>
      </c>
      <c r="V77" s="82">
        <f>+V79+V92</f>
        <v>246488.8</v>
      </c>
      <c r="W77" s="84">
        <f>+V77-U77</f>
        <v>16890.100000000006</v>
      </c>
      <c r="X77" s="81">
        <f>+X79+X92</f>
        <v>364694.14</v>
      </c>
      <c r="Y77" s="82">
        <f>+Y79+Y92</f>
        <v>381241.53</v>
      </c>
      <c r="Z77" s="80">
        <f>+Y77-X77</f>
        <v>16547.390000000014</v>
      </c>
      <c r="AB77" s="196">
        <f aca="true" t="shared" si="52" ref="AB77:AB145">+C77-F77-I77-L77-O77-R77-U77-X77</f>
        <v>8.149072527885437E-10</v>
      </c>
    </row>
    <row r="78" spans="1:28" s="45" customFormat="1" ht="14.25" outlineLevel="1" thickBot="1">
      <c r="A78" s="46"/>
      <c r="B78" s="85" t="s">
        <v>2</v>
      </c>
      <c r="C78" s="52"/>
      <c r="D78" s="61"/>
      <c r="E78" s="41"/>
      <c r="F78" s="43"/>
      <c r="G78" s="19"/>
      <c r="H78" s="40"/>
      <c r="I78" s="43"/>
      <c r="J78" s="19"/>
      <c r="K78" s="40"/>
      <c r="L78" s="42"/>
      <c r="M78" s="19"/>
      <c r="N78" s="40"/>
      <c r="O78" s="42"/>
      <c r="P78" s="19"/>
      <c r="Q78" s="40"/>
      <c r="R78" s="42"/>
      <c r="S78" s="19"/>
      <c r="T78" s="40"/>
      <c r="U78" s="42"/>
      <c r="V78" s="19"/>
      <c r="W78" s="44"/>
      <c r="X78" s="42"/>
      <c r="Y78" s="19"/>
      <c r="Z78" s="40"/>
      <c r="AB78" s="45">
        <f t="shared" si="52"/>
        <v>0</v>
      </c>
    </row>
    <row r="79" spans="1:28" s="196" customFormat="1" ht="15.75" outlineLevel="1">
      <c r="A79" s="86" t="s">
        <v>64</v>
      </c>
      <c r="B79" s="87" t="s">
        <v>47</v>
      </c>
      <c r="C79" s="66">
        <f>SUM(C80:C91)-C86-C84-C83-C85</f>
        <v>4362755.620000001</v>
      </c>
      <c r="D79" s="88">
        <f>SUM(D80:D91)-D86-D84-D83-D85</f>
        <v>4318680.119999999</v>
      </c>
      <c r="E79" s="89">
        <f>+D79-C79</f>
        <v>-44075.50000000186</v>
      </c>
      <c r="F79" s="92">
        <f>SUM(F80:F91)-F86-F84-F83-F85</f>
        <v>1790505.7800000003</v>
      </c>
      <c r="G79" s="91">
        <f>SUM(G80:G91)-G86-G84-G83-G85</f>
        <v>1757248.21</v>
      </c>
      <c r="H79" s="89">
        <f>+G79-F79</f>
        <v>-33257.5700000003</v>
      </c>
      <c r="I79" s="92">
        <f>SUM(I80:I91)-I86-I84-I83-I85</f>
        <v>585478.1599999999</v>
      </c>
      <c r="J79" s="91">
        <f>SUM(J80:J91)-J86-J84-J83-J85</f>
        <v>577118.0700000001</v>
      </c>
      <c r="K79" s="89">
        <f>+J79-I79</f>
        <v>-8360.089999999851</v>
      </c>
      <c r="L79" s="90">
        <f>SUM(L80:L91)-L86-L84-L83-L85</f>
        <v>804631.9900000002</v>
      </c>
      <c r="M79" s="91">
        <f>SUM(M80:M91)-M86-M84-M83-M85</f>
        <v>802380.66</v>
      </c>
      <c r="N79" s="89">
        <f>+M79-L79</f>
        <v>-2251.330000000191</v>
      </c>
      <c r="O79" s="90">
        <f>SUM(O80:O91)-O86-O84-O83-O85</f>
        <v>357972.1</v>
      </c>
      <c r="P79" s="91">
        <f>SUM(P80:P91)-P86-P84-P83-P85</f>
        <v>358354.44</v>
      </c>
      <c r="Q79" s="89">
        <f>+P79-O79</f>
        <v>382.3400000000256</v>
      </c>
      <c r="R79" s="90">
        <f>SUM(R80:R91)-R86-R84-R83-R85</f>
        <v>229874.75</v>
      </c>
      <c r="S79" s="91">
        <f>SUM(S80:S91)-S86-S84-S83-S85</f>
        <v>229656.22000000003</v>
      </c>
      <c r="T79" s="89">
        <f>+S79-R79</f>
        <v>-218.52999999996973</v>
      </c>
      <c r="U79" s="90">
        <f>SUM(U80:U91)-U86-U84-U83-U85</f>
        <v>229598.69999999998</v>
      </c>
      <c r="V79" s="91">
        <f>SUM(V80:V91)-V86-V84-V83-V85</f>
        <v>229379.69999999998</v>
      </c>
      <c r="W79" s="93">
        <f>+V79-U79</f>
        <v>-219</v>
      </c>
      <c r="X79" s="90">
        <f>SUM(X80:X91)-X86-X84-X83-X85</f>
        <v>364694.14</v>
      </c>
      <c r="Y79" s="91">
        <f>SUM(Y80:Y91)-Y86-Y84-Y83-Y85</f>
        <v>364542.82</v>
      </c>
      <c r="Z79" s="89">
        <f>+Y79-X79</f>
        <v>-151.32000000000698</v>
      </c>
      <c r="AB79" s="196">
        <f t="shared" si="52"/>
        <v>6.984919309616089E-10</v>
      </c>
    </row>
    <row r="80" spans="1:28" s="45" customFormat="1" ht="25.5" outlineLevel="1">
      <c r="A80" s="46" t="s">
        <v>65</v>
      </c>
      <c r="B80" s="94" t="s">
        <v>168</v>
      </c>
      <c r="C80" s="203">
        <v>2384502.42</v>
      </c>
      <c r="D80" s="118">
        <f>960455+1424047.42</f>
        <v>2384502.42</v>
      </c>
      <c r="E80" s="41">
        <f aca="true" t="shared" si="53" ref="E80:E165">+D80-C80</f>
        <v>0</v>
      </c>
      <c r="F80" s="43">
        <f>+C80-I80-L80-O80-R80-U80-X80</f>
        <v>760353.53</v>
      </c>
      <c r="G80" s="19">
        <f>+D80-J80-M80-P80-S80-V80-Y80</f>
        <v>760353.53</v>
      </c>
      <c r="H80" s="40">
        <f>+G80-F80</f>
        <v>0</v>
      </c>
      <c r="I80" s="43">
        <f>+ROUND(C80/$C$8*$I$8,2)</f>
        <v>246887.8</v>
      </c>
      <c r="J80" s="19">
        <f>+ROUND(D80/$C$8*$I$8,2)</f>
        <v>246887.8</v>
      </c>
      <c r="K80" s="40">
        <f>+J80-I80</f>
        <v>0</v>
      </c>
      <c r="L80" s="42">
        <f>+ROUND(C80/$C$8*$L$8,2)</f>
        <v>545122.17</v>
      </c>
      <c r="M80" s="19">
        <f>+ROUND(D80/$C$8*$L$8,2)</f>
        <v>545122.17</v>
      </c>
      <c r="N80" s="40">
        <f>+M80-L80</f>
        <v>0</v>
      </c>
      <c r="O80" s="42">
        <f>+ROUND(C80/$C$8*$O$8,2)</f>
        <v>256470.83</v>
      </c>
      <c r="P80" s="19">
        <f>+ROUND(D80/$C$8*$O$8,2)</f>
        <v>256470.83</v>
      </c>
      <c r="Q80" s="40">
        <f>+P80-O80</f>
        <v>0</v>
      </c>
      <c r="R80" s="42">
        <f>+ROUND(C80/$C$8*$R$8,2)</f>
        <v>160016.64</v>
      </c>
      <c r="S80" s="19">
        <f>+ROUND(D80/$C$8*$R$8,2)</f>
        <v>160016.64</v>
      </c>
      <c r="T80" s="40">
        <f>+S80-R80</f>
        <v>0</v>
      </c>
      <c r="U80" s="42">
        <f>+ROUND(C80/$C$8*$U$8,2)</f>
        <v>159816.99</v>
      </c>
      <c r="V80" s="19">
        <f>+ROUND(D80/$C$8*$U$8,2)</f>
        <v>159816.99</v>
      </c>
      <c r="W80" s="44">
        <f>+V80-U80</f>
        <v>0</v>
      </c>
      <c r="X80" s="42">
        <f>+ROUND(C80/$C$8*$X$8,2)</f>
        <v>255834.46</v>
      </c>
      <c r="Y80" s="19">
        <f>+ROUND(D80/$C$8*$X$8,2)</f>
        <v>255834.46</v>
      </c>
      <c r="Z80" s="40">
        <f>+Y80-X80</f>
        <v>0</v>
      </c>
      <c r="AA80" s="45">
        <f>+Y80+V80+S80+P80+M80+J80+G80</f>
        <v>2384502.42</v>
      </c>
      <c r="AB80" s="198">
        <f t="shared" si="52"/>
        <v>0</v>
      </c>
    </row>
    <row r="81" spans="1:28" s="45" customFormat="1" ht="13.5" outlineLevel="1">
      <c r="A81" s="46" t="s">
        <v>66</v>
      </c>
      <c r="B81" s="40" t="s">
        <v>145</v>
      </c>
      <c r="C81" s="203">
        <f aca="true" t="shared" si="54" ref="C81:D88">+F81+I81+L81+O81+R81+U81+X81</f>
        <v>523553.32</v>
      </c>
      <c r="D81" s="118">
        <f t="shared" si="54"/>
        <v>488137.23</v>
      </c>
      <c r="E81" s="41">
        <f t="shared" si="53"/>
        <v>-35416.090000000026</v>
      </c>
      <c r="F81" s="43">
        <v>165014.62</v>
      </c>
      <c r="G81" s="19">
        <f>ROUND((2.18*6098.1*6+2.33*6*6098.1)*0.93,2)+1232.68</f>
        <v>154696.24</v>
      </c>
      <c r="H81" s="40">
        <f aca="true" t="shared" si="55" ref="H81:H164">+G81-F81</f>
        <v>-10318.380000000005</v>
      </c>
      <c r="I81" s="43">
        <v>51711.66</v>
      </c>
      <c r="J81" s="19">
        <f>ROUND((2.18*1911*6+2.33*1911*6)*0.93,2)</f>
        <v>48091.84</v>
      </c>
      <c r="K81" s="40">
        <f aca="true" t="shared" si="56" ref="K81:K109">+J81-I81</f>
        <v>-3619.820000000007</v>
      </c>
      <c r="L81" s="42">
        <v>139707.18</v>
      </c>
      <c r="M81" s="19">
        <f>+ROUND(((7014.8+236.75+315.66+3518.82+293.56)*6+(7497.47+3553.23+296.43+318.75+239.06)*6)*0.93,2)</f>
        <v>129927.68</v>
      </c>
      <c r="N81" s="40">
        <f aca="true" t="shared" si="57" ref="N81:N164">+M81-L81</f>
        <v>-9779.5</v>
      </c>
      <c r="O81" s="42">
        <v>45136.14</v>
      </c>
      <c r="P81" s="19">
        <f>ROUND(((3452.25+189.4)*6+(3689.79+191.25)*6)*0.93,2)</f>
        <v>41976.61</v>
      </c>
      <c r="Q81" s="40">
        <f aca="true" t="shared" si="58" ref="Q81:Q164">+P81-O81</f>
        <v>-3159.529999999999</v>
      </c>
      <c r="R81" s="42">
        <v>34690.92</v>
      </c>
      <c r="S81" s="19">
        <f>ROUND((2794.76*6+2987.06*6)*0.93,2)</f>
        <v>32262.56</v>
      </c>
      <c r="T81" s="40">
        <f aca="true" t="shared" si="59" ref="T81:T164">+S81-R81</f>
        <v>-2428.359999999997</v>
      </c>
      <c r="U81" s="42">
        <v>34658.4</v>
      </c>
      <c r="V81" s="19">
        <f>ROUND((2792.14*6+2984.26*6)*0.93,2)</f>
        <v>32232.31</v>
      </c>
      <c r="W81" s="44">
        <f aca="true" t="shared" si="60" ref="W81:W164">+V81-U81</f>
        <v>-2426.09</v>
      </c>
      <c r="X81" s="42">
        <v>52634.4</v>
      </c>
      <c r="Y81" s="19">
        <f>ROUND((4240.32*6+4532.08*6)*0.93,2)</f>
        <v>48949.99</v>
      </c>
      <c r="Z81" s="40">
        <f aca="true" t="shared" si="61" ref="Z81:Z164">+Y81-X81</f>
        <v>-3684.4100000000035</v>
      </c>
      <c r="AB81" s="45">
        <f t="shared" si="52"/>
        <v>0</v>
      </c>
    </row>
    <row r="82" spans="1:28" s="45" customFormat="1" ht="13.5" outlineLevel="1">
      <c r="A82" s="46" t="s">
        <v>67</v>
      </c>
      <c r="B82" s="40" t="s">
        <v>4</v>
      </c>
      <c r="C82" s="52">
        <f t="shared" si="54"/>
        <v>145425.84</v>
      </c>
      <c r="D82" s="61">
        <f t="shared" si="54"/>
        <v>112127.28</v>
      </c>
      <c r="E82" s="41">
        <f t="shared" si="53"/>
        <v>-33298.56</v>
      </c>
      <c r="F82" s="43">
        <f>SUM(F83:F86)</f>
        <v>110607.42</v>
      </c>
      <c r="G82" s="19">
        <f>SUM(G83:G86)</f>
        <v>84643.44</v>
      </c>
      <c r="H82" s="40">
        <f t="shared" si="55"/>
        <v>-25963.979999999996</v>
      </c>
      <c r="I82" s="43">
        <f>SUM(I83:I86)</f>
        <v>34818.42</v>
      </c>
      <c r="J82" s="19">
        <f>SUM(J83:J86)</f>
        <v>27483.84</v>
      </c>
      <c r="K82" s="40">
        <f t="shared" si="56"/>
        <v>-7334.579999999998</v>
      </c>
      <c r="L82" s="42">
        <f>SUM(L83:L86)</f>
        <v>0</v>
      </c>
      <c r="M82" s="19">
        <f>SUM(M83:M86)</f>
        <v>0</v>
      </c>
      <c r="N82" s="40">
        <f t="shared" si="57"/>
        <v>0</v>
      </c>
      <c r="O82" s="42">
        <f>SUM(O83:O86)</f>
        <v>0</v>
      </c>
      <c r="P82" s="19">
        <f>SUM(P83:P86)</f>
        <v>0</v>
      </c>
      <c r="Q82" s="40">
        <f t="shared" si="58"/>
        <v>0</v>
      </c>
      <c r="R82" s="42">
        <f>SUM(R83:R86)</f>
        <v>0</v>
      </c>
      <c r="S82" s="19">
        <f>SUM(S83:S86)</f>
        <v>0</v>
      </c>
      <c r="T82" s="40">
        <f t="shared" si="59"/>
        <v>0</v>
      </c>
      <c r="U82" s="42">
        <f>SUM(U83:U86)</f>
        <v>0</v>
      </c>
      <c r="V82" s="19">
        <f>SUM(V83:V86)</f>
        <v>0</v>
      </c>
      <c r="W82" s="44">
        <f t="shared" si="60"/>
        <v>0</v>
      </c>
      <c r="X82" s="42">
        <f>SUM(X83:X86)</f>
        <v>0</v>
      </c>
      <c r="Y82" s="19">
        <f>SUM(Y83:Y86)</f>
        <v>0</v>
      </c>
      <c r="Z82" s="40">
        <f t="shared" si="61"/>
        <v>0</v>
      </c>
      <c r="AB82" s="45">
        <f t="shared" si="52"/>
        <v>0</v>
      </c>
    </row>
    <row r="83" spans="1:26" s="45" customFormat="1" ht="25.5" outlineLevel="1">
      <c r="A83" s="46"/>
      <c r="B83" s="187" t="s">
        <v>146</v>
      </c>
      <c r="C83" s="52">
        <f t="shared" si="54"/>
        <v>97283.89</v>
      </c>
      <c r="D83" s="61">
        <f t="shared" si="54"/>
        <v>93439.4</v>
      </c>
      <c r="E83" s="41">
        <f t="shared" si="53"/>
        <v>-3844.4900000000052</v>
      </c>
      <c r="F83" s="43">
        <v>74071.61</v>
      </c>
      <c r="G83" s="19">
        <f>+ROUND(93439.4/($F$8+$I$8)*F8,2)</f>
        <v>70536.2</v>
      </c>
      <c r="H83" s="40">
        <f t="shared" si="55"/>
        <v>-3535.4100000000035</v>
      </c>
      <c r="I83" s="43">
        <v>23212.28</v>
      </c>
      <c r="J83" s="19">
        <f>+ROUND(93439.4/($F$8+$I$8)*I8,2)</f>
        <v>22903.2</v>
      </c>
      <c r="K83" s="40"/>
      <c r="L83" s="42"/>
      <c r="M83" s="19"/>
      <c r="N83" s="40"/>
      <c r="O83" s="42"/>
      <c r="P83" s="19"/>
      <c r="Q83" s="40"/>
      <c r="R83" s="42"/>
      <c r="S83" s="19"/>
      <c r="T83" s="40"/>
      <c r="U83" s="42"/>
      <c r="V83" s="19"/>
      <c r="W83" s="44"/>
      <c r="X83" s="42"/>
      <c r="Y83" s="19"/>
      <c r="Z83" s="40"/>
    </row>
    <row r="84" spans="1:26" s="45" customFormat="1" ht="13.5" outlineLevel="1">
      <c r="A84" s="46"/>
      <c r="B84" s="202" t="s">
        <v>57</v>
      </c>
      <c r="C84" s="52">
        <f t="shared" si="54"/>
        <v>19651.35</v>
      </c>
      <c r="D84" s="118">
        <f t="shared" si="54"/>
        <v>18687.88</v>
      </c>
      <c r="E84" s="41">
        <f t="shared" si="53"/>
        <v>-963.4699999999975</v>
      </c>
      <c r="F84" s="43">
        <v>14962.47</v>
      </c>
      <c r="G84" s="19">
        <f>ROUND(G83*0.2,2)</f>
        <v>14107.24</v>
      </c>
      <c r="H84" s="40">
        <f t="shared" si="55"/>
        <v>-855.2299999999996</v>
      </c>
      <c r="I84" s="43">
        <v>4688.88</v>
      </c>
      <c r="J84" s="19">
        <f>ROUND(J83*0.2,2)</f>
        <v>4580.64</v>
      </c>
      <c r="K84" s="40"/>
      <c r="L84" s="42"/>
      <c r="M84" s="19"/>
      <c r="N84" s="40"/>
      <c r="O84" s="42"/>
      <c r="P84" s="19"/>
      <c r="Q84" s="40"/>
      <c r="R84" s="42"/>
      <c r="S84" s="19"/>
      <c r="T84" s="40"/>
      <c r="U84" s="42"/>
      <c r="V84" s="19"/>
      <c r="W84" s="44"/>
      <c r="X84" s="42"/>
      <c r="Y84" s="19"/>
      <c r="Z84" s="40"/>
    </row>
    <row r="85" spans="1:26" s="45" customFormat="1" ht="13.5" hidden="1" outlineLevel="2">
      <c r="A85" s="46"/>
      <c r="B85" s="202" t="s">
        <v>148</v>
      </c>
      <c r="C85" s="52">
        <f t="shared" si="54"/>
        <v>0</v>
      </c>
      <c r="D85" s="61">
        <f t="shared" si="54"/>
        <v>0</v>
      </c>
      <c r="E85" s="41">
        <f t="shared" si="53"/>
        <v>0</v>
      </c>
      <c r="F85" s="43"/>
      <c r="G85" s="19"/>
      <c r="H85" s="40"/>
      <c r="I85" s="43"/>
      <c r="J85" s="19"/>
      <c r="K85" s="40"/>
      <c r="L85" s="42"/>
      <c r="M85" s="19"/>
      <c r="N85" s="40"/>
      <c r="O85" s="42"/>
      <c r="P85" s="19"/>
      <c r="Q85" s="40"/>
      <c r="R85" s="42"/>
      <c r="S85" s="19"/>
      <c r="T85" s="40"/>
      <c r="U85" s="42"/>
      <c r="V85" s="19"/>
      <c r="W85" s="44"/>
      <c r="X85" s="42"/>
      <c r="Y85" s="19"/>
      <c r="Z85" s="40"/>
    </row>
    <row r="86" spans="1:26" s="45" customFormat="1" ht="13.5" outlineLevel="1" collapsed="1">
      <c r="A86" s="46"/>
      <c r="B86" s="202" t="s">
        <v>147</v>
      </c>
      <c r="C86" s="239">
        <f t="shared" si="54"/>
        <v>28490.6</v>
      </c>
      <c r="D86" s="61">
        <f t="shared" si="54"/>
        <v>0</v>
      </c>
      <c r="E86" s="41">
        <f t="shared" si="53"/>
        <v>-28490.6</v>
      </c>
      <c r="F86" s="43">
        <v>21573.34</v>
      </c>
      <c r="G86" s="19"/>
      <c r="H86" s="40">
        <f t="shared" si="55"/>
        <v>-21573.34</v>
      </c>
      <c r="I86" s="43">
        <v>6917.26</v>
      </c>
      <c r="J86" s="19"/>
      <c r="K86" s="40"/>
      <c r="L86" s="42"/>
      <c r="M86" s="19"/>
      <c r="N86" s="40"/>
      <c r="O86" s="42"/>
      <c r="P86" s="19"/>
      <c r="Q86" s="40"/>
      <c r="R86" s="42"/>
      <c r="S86" s="19"/>
      <c r="T86" s="40"/>
      <c r="U86" s="42"/>
      <c r="V86" s="19"/>
      <c r="W86" s="44"/>
      <c r="X86" s="42"/>
      <c r="Y86" s="19"/>
      <c r="Z86" s="40"/>
    </row>
    <row r="87" spans="1:28" s="197" customFormat="1" ht="13.5" outlineLevel="1">
      <c r="A87" s="121" t="s">
        <v>68</v>
      </c>
      <c r="B87" s="123" t="s">
        <v>5</v>
      </c>
      <c r="C87" s="203">
        <f t="shared" si="54"/>
        <v>781226.98</v>
      </c>
      <c r="D87" s="118">
        <f t="shared" si="54"/>
        <v>775736</v>
      </c>
      <c r="E87" s="120">
        <f t="shared" si="53"/>
        <v>-5490.979999999981</v>
      </c>
      <c r="F87" s="122">
        <f>590403.68-2887.3-3090.63</f>
        <v>584425.75</v>
      </c>
      <c r="G87" s="119">
        <f>775736-196686</f>
        <v>579050</v>
      </c>
      <c r="H87" s="123">
        <f t="shared" si="55"/>
        <v>-5375.75</v>
      </c>
      <c r="I87" s="122">
        <v>196801.23</v>
      </c>
      <c r="J87" s="119">
        <f>+(15857+16924)*6</f>
        <v>196686</v>
      </c>
      <c r="K87" s="123">
        <f t="shared" si="56"/>
        <v>-115.23000000001048</v>
      </c>
      <c r="L87" s="124"/>
      <c r="M87" s="119"/>
      <c r="N87" s="123">
        <f t="shared" si="57"/>
        <v>0</v>
      </c>
      <c r="O87" s="124"/>
      <c r="P87" s="119"/>
      <c r="Q87" s="123">
        <f t="shared" si="58"/>
        <v>0</v>
      </c>
      <c r="R87" s="124"/>
      <c r="S87" s="119"/>
      <c r="T87" s="123">
        <f t="shared" si="59"/>
        <v>0</v>
      </c>
      <c r="U87" s="124"/>
      <c r="V87" s="119"/>
      <c r="W87" s="125">
        <f t="shared" si="60"/>
        <v>0</v>
      </c>
      <c r="X87" s="124"/>
      <c r="Y87" s="119"/>
      <c r="Z87" s="123">
        <f t="shared" si="61"/>
        <v>0</v>
      </c>
      <c r="AB87" s="197">
        <f t="shared" si="52"/>
        <v>-2.9103830456733704E-11</v>
      </c>
    </row>
    <row r="88" spans="1:28" s="197" customFormat="1" ht="13.5" outlineLevel="1">
      <c r="A88" s="121"/>
      <c r="B88" s="123" t="s">
        <v>83</v>
      </c>
      <c r="C88" s="203">
        <f t="shared" si="54"/>
        <v>4000</v>
      </c>
      <c r="D88" s="118">
        <f t="shared" si="54"/>
        <v>1200</v>
      </c>
      <c r="E88" s="120">
        <f t="shared" si="53"/>
        <v>-2800</v>
      </c>
      <c r="F88" s="122">
        <v>3000</v>
      </c>
      <c r="G88" s="119">
        <v>900</v>
      </c>
      <c r="H88" s="123">
        <f>+G88-F88</f>
        <v>-2100</v>
      </c>
      <c r="I88" s="122">
        <v>1000</v>
      </c>
      <c r="J88" s="119">
        <v>300</v>
      </c>
      <c r="K88" s="123">
        <f>+J88-I88</f>
        <v>-700</v>
      </c>
      <c r="L88" s="124"/>
      <c r="M88" s="119"/>
      <c r="N88" s="123">
        <f t="shared" si="57"/>
        <v>0</v>
      </c>
      <c r="O88" s="124"/>
      <c r="P88" s="119"/>
      <c r="Q88" s="123">
        <f t="shared" si="58"/>
        <v>0</v>
      </c>
      <c r="R88" s="124"/>
      <c r="S88" s="119"/>
      <c r="T88" s="123">
        <f t="shared" si="59"/>
        <v>0</v>
      </c>
      <c r="U88" s="124"/>
      <c r="V88" s="119"/>
      <c r="W88" s="125">
        <f t="shared" si="60"/>
        <v>0</v>
      </c>
      <c r="X88" s="124"/>
      <c r="Y88" s="119"/>
      <c r="Z88" s="123">
        <f t="shared" si="61"/>
        <v>0</v>
      </c>
      <c r="AB88" s="197">
        <f t="shared" si="52"/>
        <v>0</v>
      </c>
    </row>
    <row r="89" spans="1:28" s="45" customFormat="1" ht="13.5" outlineLevel="1">
      <c r="A89" s="46"/>
      <c r="B89" s="40" t="s">
        <v>87</v>
      </c>
      <c r="C89" s="52">
        <f>100000-25800</f>
        <v>74200</v>
      </c>
      <c r="D89" s="61">
        <f>16300+916.8+4820+573+4800+15737+3235+27284.84+1375+1880+14041</f>
        <v>90962.64</v>
      </c>
      <c r="E89" s="41">
        <f t="shared" si="53"/>
        <v>16762.64</v>
      </c>
      <c r="F89" s="43">
        <f aca="true" t="shared" si="62" ref="F89:G91">+C89-I89-L89-O89-R89-U89-X89</f>
        <v>23660.37</v>
      </c>
      <c r="G89" s="19">
        <f t="shared" si="62"/>
        <v>29005.530000000006</v>
      </c>
      <c r="H89" s="40">
        <f>+G89-F89</f>
        <v>5345.160000000007</v>
      </c>
      <c r="I89" s="43">
        <f aca="true" t="shared" si="63" ref="I89:J91">+ROUND(C89/$C$8*$I$8,2)</f>
        <v>7682.56</v>
      </c>
      <c r="J89" s="19">
        <f t="shared" si="63"/>
        <v>9418.14</v>
      </c>
      <c r="K89" s="40">
        <f>+J89-I89</f>
        <v>1735.579999999999</v>
      </c>
      <c r="L89" s="42">
        <f aca="true" t="shared" si="64" ref="L89:M91">+ROUND(C89/$C$8*$L$8,2)</f>
        <v>16962.9</v>
      </c>
      <c r="M89" s="19">
        <f t="shared" si="64"/>
        <v>20795.01</v>
      </c>
      <c r="N89" s="40">
        <f>+M89-L89</f>
        <v>3832.109999999997</v>
      </c>
      <c r="O89" s="42">
        <f aca="true" t="shared" si="65" ref="O89:P91">+ROUND(C89/$C$8*$O$8,2)</f>
        <v>7980.76</v>
      </c>
      <c r="P89" s="19">
        <f t="shared" si="65"/>
        <v>9783.7</v>
      </c>
      <c r="Q89" s="40">
        <f>+P89-O89</f>
        <v>1802.9400000000005</v>
      </c>
      <c r="R89" s="42">
        <f aca="true" t="shared" si="66" ref="R89:S91">+ROUND(C89/$C$8*$R$8,2)</f>
        <v>4979.33</v>
      </c>
      <c r="S89" s="19">
        <f t="shared" si="66"/>
        <v>6104.22</v>
      </c>
      <c r="T89" s="40">
        <f>+S89-R89</f>
        <v>1124.8900000000003</v>
      </c>
      <c r="U89" s="42">
        <f aca="true" t="shared" si="67" ref="U89:V91">+ROUND(C89/$C$8*$U$8,2)</f>
        <v>4973.12</v>
      </c>
      <c r="V89" s="19">
        <f t="shared" si="67"/>
        <v>6096.61</v>
      </c>
      <c r="W89" s="44">
        <f>+V89-U89</f>
        <v>1123.4899999999998</v>
      </c>
      <c r="X89" s="42">
        <f aca="true" t="shared" si="68" ref="X89:Y91">+ROUND(C89/$C$8*$X$8,2)</f>
        <v>7960.96</v>
      </c>
      <c r="Y89" s="19">
        <f t="shared" si="68"/>
        <v>9759.43</v>
      </c>
      <c r="Z89" s="40">
        <f>+Y89-X89</f>
        <v>1798.4700000000003</v>
      </c>
      <c r="AB89" s="45">
        <f t="shared" si="52"/>
        <v>0</v>
      </c>
    </row>
    <row r="90" spans="1:28" s="45" customFormat="1" ht="25.5" outlineLevel="1">
      <c r="A90" s="46" t="s">
        <v>70</v>
      </c>
      <c r="B90" s="95" t="s">
        <v>59</v>
      </c>
      <c r="C90" s="52">
        <v>374248.8</v>
      </c>
      <c r="D90" s="61">
        <f>435065.16-46719.7</f>
        <v>388345.45999999996</v>
      </c>
      <c r="E90" s="41">
        <f t="shared" si="53"/>
        <v>14096.659999999974</v>
      </c>
      <c r="F90" s="43">
        <f t="shared" si="62"/>
        <v>119337.85</v>
      </c>
      <c r="G90" s="19">
        <f t="shared" si="62"/>
        <v>123832.88999999996</v>
      </c>
      <c r="H90" s="40">
        <f>+G90-F90</f>
        <v>4495.03999999995</v>
      </c>
      <c r="I90" s="43">
        <f t="shared" si="63"/>
        <v>38749.16</v>
      </c>
      <c r="J90" s="19">
        <f t="shared" si="63"/>
        <v>40208.71</v>
      </c>
      <c r="K90" s="40">
        <f>+J90-I90</f>
        <v>1459.5499999999956</v>
      </c>
      <c r="L90" s="42">
        <f t="shared" si="64"/>
        <v>85557.19</v>
      </c>
      <c r="M90" s="19">
        <f t="shared" si="64"/>
        <v>88779.83</v>
      </c>
      <c r="N90" s="40">
        <f>+M90-L90</f>
        <v>3222.6399999999994</v>
      </c>
      <c r="O90" s="42">
        <f t="shared" si="65"/>
        <v>40253.22</v>
      </c>
      <c r="P90" s="19">
        <f t="shared" si="65"/>
        <v>41769.42</v>
      </c>
      <c r="Q90" s="40">
        <f>+P90-O90</f>
        <v>1516.199999999997</v>
      </c>
      <c r="R90" s="42">
        <f t="shared" si="66"/>
        <v>25114.69</v>
      </c>
      <c r="S90" s="19">
        <f t="shared" si="66"/>
        <v>26060.67</v>
      </c>
      <c r="T90" s="40">
        <f>+S90-R90</f>
        <v>945.9799999999996</v>
      </c>
      <c r="U90" s="42">
        <f t="shared" si="67"/>
        <v>25083.35</v>
      </c>
      <c r="V90" s="19">
        <f t="shared" si="67"/>
        <v>26028.16</v>
      </c>
      <c r="W90" s="44">
        <f>+V90-U90</f>
        <v>944.8100000000013</v>
      </c>
      <c r="X90" s="42">
        <f t="shared" si="68"/>
        <v>40153.34</v>
      </c>
      <c r="Y90" s="19">
        <f t="shared" si="68"/>
        <v>41665.78</v>
      </c>
      <c r="Z90" s="40">
        <f>+Y90-X90</f>
        <v>1512.4400000000023</v>
      </c>
      <c r="AB90" s="45">
        <f t="shared" si="52"/>
        <v>0</v>
      </c>
    </row>
    <row r="91" spans="1:28" s="45" customFormat="1" ht="14.25" outlineLevel="1" thickBot="1">
      <c r="A91" s="46" t="s">
        <v>76</v>
      </c>
      <c r="B91" s="40" t="s">
        <v>57</v>
      </c>
      <c r="C91" s="52">
        <v>75598.26</v>
      </c>
      <c r="D91" s="118">
        <f>ROUND(D90*0.2,2)</f>
        <v>77669.09</v>
      </c>
      <c r="E91" s="41">
        <f t="shared" si="53"/>
        <v>2070.8300000000017</v>
      </c>
      <c r="F91" s="43">
        <f t="shared" si="62"/>
        <v>24106.23999999999</v>
      </c>
      <c r="G91" s="19">
        <f t="shared" si="62"/>
        <v>24766.579999999998</v>
      </c>
      <c r="H91" s="40">
        <f>+G91-F91</f>
        <v>660.3400000000074</v>
      </c>
      <c r="I91" s="43">
        <f t="shared" si="63"/>
        <v>7827.33</v>
      </c>
      <c r="J91" s="19">
        <f t="shared" si="63"/>
        <v>8041.74</v>
      </c>
      <c r="K91" s="40">
        <f>+J91-I91</f>
        <v>214.40999999999985</v>
      </c>
      <c r="L91" s="42">
        <f t="shared" si="64"/>
        <v>17282.55</v>
      </c>
      <c r="M91" s="19">
        <f t="shared" si="64"/>
        <v>17755.97</v>
      </c>
      <c r="N91" s="40">
        <f>+M91-L91</f>
        <v>473.4200000000019</v>
      </c>
      <c r="O91" s="42">
        <f t="shared" si="65"/>
        <v>8131.15</v>
      </c>
      <c r="P91" s="19">
        <f t="shared" si="65"/>
        <v>8353.88</v>
      </c>
      <c r="Q91" s="40">
        <f>+P91-O91</f>
        <v>222.72999999999956</v>
      </c>
      <c r="R91" s="42">
        <f t="shared" si="66"/>
        <v>5073.17</v>
      </c>
      <c r="S91" s="19">
        <f t="shared" si="66"/>
        <v>5212.13</v>
      </c>
      <c r="T91" s="40">
        <f>+S91-R91</f>
        <v>138.96000000000004</v>
      </c>
      <c r="U91" s="42">
        <f t="shared" si="67"/>
        <v>5066.84</v>
      </c>
      <c r="V91" s="19">
        <f t="shared" si="67"/>
        <v>5205.63</v>
      </c>
      <c r="W91" s="44">
        <f>+V91-U91</f>
        <v>138.78999999999996</v>
      </c>
      <c r="X91" s="42">
        <f t="shared" si="68"/>
        <v>8110.98</v>
      </c>
      <c r="Y91" s="19">
        <f t="shared" si="68"/>
        <v>8333.16</v>
      </c>
      <c r="Z91" s="40">
        <f>+Y91-X91</f>
        <v>222.1800000000003</v>
      </c>
      <c r="AB91" s="45">
        <f t="shared" si="52"/>
        <v>0</v>
      </c>
    </row>
    <row r="92" spans="1:28" s="196" customFormat="1" ht="15.75" outlineLevel="1">
      <c r="A92" s="86" t="s">
        <v>3</v>
      </c>
      <c r="B92" s="87" t="s">
        <v>48</v>
      </c>
      <c r="C92" s="66">
        <f>SUM(C93:C106)</f>
        <v>425212.87</v>
      </c>
      <c r="D92" s="88">
        <f>SUM(D93:D106)</f>
        <v>985765.5</v>
      </c>
      <c r="E92" s="89">
        <f t="shared" si="53"/>
        <v>560552.63</v>
      </c>
      <c r="F92" s="92">
        <f>SUM(F93:F106)</f>
        <v>0</v>
      </c>
      <c r="G92" s="91">
        <f aca="true" t="shared" si="69" ref="G92:Y92">SUM(G93:G106)</f>
        <v>48445.8</v>
      </c>
      <c r="H92" s="89">
        <f t="shared" si="55"/>
        <v>48445.8</v>
      </c>
      <c r="I92" s="92">
        <f t="shared" si="69"/>
        <v>204112.55</v>
      </c>
      <c r="J92" s="91">
        <f t="shared" si="69"/>
        <v>409555.45</v>
      </c>
      <c r="K92" s="89">
        <f t="shared" si="69"/>
        <v>205442.90000000002</v>
      </c>
      <c r="L92" s="90">
        <f t="shared" si="69"/>
        <v>179947.24</v>
      </c>
      <c r="M92" s="91">
        <f t="shared" si="69"/>
        <v>415963.10000000003</v>
      </c>
      <c r="N92" s="89">
        <f t="shared" si="57"/>
        <v>236015.86000000004</v>
      </c>
      <c r="O92" s="90">
        <f t="shared" si="69"/>
        <v>26905.4</v>
      </c>
      <c r="P92" s="91">
        <f t="shared" si="69"/>
        <v>42068.740000000005</v>
      </c>
      <c r="Q92" s="89">
        <f t="shared" si="58"/>
        <v>15163.340000000004</v>
      </c>
      <c r="R92" s="90">
        <f t="shared" si="69"/>
        <v>14247.68</v>
      </c>
      <c r="S92" s="91">
        <f t="shared" si="69"/>
        <v>35924.600000000006</v>
      </c>
      <c r="T92" s="89">
        <f t="shared" si="59"/>
        <v>21676.920000000006</v>
      </c>
      <c r="U92" s="90">
        <f t="shared" si="69"/>
        <v>0</v>
      </c>
      <c r="V92" s="91">
        <f t="shared" si="69"/>
        <v>17109.1</v>
      </c>
      <c r="W92" s="93">
        <f t="shared" si="60"/>
        <v>17109.1</v>
      </c>
      <c r="X92" s="90">
        <f t="shared" si="69"/>
        <v>0</v>
      </c>
      <c r="Y92" s="91">
        <f t="shared" si="69"/>
        <v>16698.71</v>
      </c>
      <c r="Z92" s="89">
        <f t="shared" si="61"/>
        <v>16698.71</v>
      </c>
      <c r="AB92" s="196">
        <f t="shared" si="52"/>
        <v>1.4551915228366852E-11</v>
      </c>
    </row>
    <row r="93" spans="1:28" s="45" customFormat="1" ht="25.5" outlineLevel="1">
      <c r="A93" s="46"/>
      <c r="B93" s="95" t="s">
        <v>39</v>
      </c>
      <c r="C93" s="52">
        <f aca="true" t="shared" si="70" ref="C93:D106">+F93+I93+L93+O93+R93+U93+X93</f>
        <v>206852.63999999998</v>
      </c>
      <c r="D93" s="118">
        <f t="shared" si="70"/>
        <v>250758.03999999998</v>
      </c>
      <c r="E93" s="41">
        <f t="shared" si="53"/>
        <v>43905.399999999994</v>
      </c>
      <c r="F93" s="43"/>
      <c r="G93" s="19"/>
      <c r="H93" s="40">
        <f t="shared" si="55"/>
        <v>0</v>
      </c>
      <c r="I93" s="43"/>
      <c r="J93" s="19">
        <v>10000</v>
      </c>
      <c r="K93" s="40">
        <f t="shared" si="56"/>
        <v>10000</v>
      </c>
      <c r="L93" s="42">
        <f>+M93</f>
        <v>179947.24</v>
      </c>
      <c r="M93" s="19">
        <f>1300+32166.69*2+33507.66+80716.2+90</f>
        <v>179947.24</v>
      </c>
      <c r="N93" s="40">
        <f t="shared" si="57"/>
        <v>0</v>
      </c>
      <c r="O93" s="42">
        <f>+P93</f>
        <v>26905.4</v>
      </c>
      <c r="P93" s="19">
        <v>26905.4</v>
      </c>
      <c r="Q93" s="40">
        <f t="shared" si="58"/>
        <v>0</v>
      </c>
      <c r="R93" s="42"/>
      <c r="S93" s="19">
        <v>26905.4</v>
      </c>
      <c r="T93" s="40">
        <f t="shared" si="59"/>
        <v>26905.4</v>
      </c>
      <c r="U93" s="42"/>
      <c r="V93" s="19">
        <v>7000</v>
      </c>
      <c r="W93" s="44">
        <f t="shared" si="60"/>
        <v>7000</v>
      </c>
      <c r="X93" s="42"/>
      <c r="Y93" s="19"/>
      <c r="Z93" s="40">
        <f t="shared" si="61"/>
        <v>0</v>
      </c>
      <c r="AB93" s="45">
        <f t="shared" si="52"/>
        <v>-7.275957614183426E-12</v>
      </c>
    </row>
    <row r="94" spans="1:28" s="45" customFormat="1" ht="25.5" outlineLevel="1">
      <c r="A94" s="46"/>
      <c r="B94" s="95" t="s">
        <v>152</v>
      </c>
      <c r="C94" s="52">
        <f t="shared" si="70"/>
        <v>0</v>
      </c>
      <c r="D94" s="118">
        <f t="shared" si="70"/>
        <v>2724.74</v>
      </c>
      <c r="E94" s="41">
        <f t="shared" si="53"/>
        <v>2724.74</v>
      </c>
      <c r="F94" s="43"/>
      <c r="G94" s="19"/>
      <c r="H94" s="40">
        <f t="shared" si="55"/>
        <v>0</v>
      </c>
      <c r="I94" s="43"/>
      <c r="J94" s="19"/>
      <c r="K94" s="40">
        <f t="shared" si="56"/>
        <v>0</v>
      </c>
      <c r="L94" s="42"/>
      <c r="M94" s="19"/>
      <c r="N94" s="40">
        <f t="shared" si="57"/>
        <v>0</v>
      </c>
      <c r="O94" s="42"/>
      <c r="P94" s="19">
        <v>1634.84</v>
      </c>
      <c r="Q94" s="40">
        <f t="shared" si="58"/>
        <v>1634.84</v>
      </c>
      <c r="R94" s="42"/>
      <c r="S94" s="19"/>
      <c r="T94" s="40">
        <f t="shared" si="59"/>
        <v>0</v>
      </c>
      <c r="U94" s="42"/>
      <c r="V94" s="19">
        <v>1089.9</v>
      </c>
      <c r="W94" s="44">
        <f t="shared" si="60"/>
        <v>1089.9</v>
      </c>
      <c r="X94" s="42"/>
      <c r="Y94" s="19"/>
      <c r="Z94" s="40">
        <f t="shared" si="61"/>
        <v>0</v>
      </c>
      <c r="AB94" s="45">
        <f t="shared" si="52"/>
        <v>0</v>
      </c>
    </row>
    <row r="95" spans="1:28" s="45" customFormat="1" ht="13.5" outlineLevel="1">
      <c r="A95" s="46"/>
      <c r="B95" s="40" t="s">
        <v>117</v>
      </c>
      <c r="C95" s="52">
        <f t="shared" si="70"/>
        <v>29000</v>
      </c>
      <c r="D95" s="118">
        <f t="shared" si="70"/>
        <v>30465.07</v>
      </c>
      <c r="E95" s="41">
        <f t="shared" si="53"/>
        <v>1465.0699999999997</v>
      </c>
      <c r="F95" s="43"/>
      <c r="G95" s="19"/>
      <c r="H95" s="40">
        <f t="shared" si="55"/>
        <v>0</v>
      </c>
      <c r="I95" s="43">
        <v>29000</v>
      </c>
      <c r="J95" s="19">
        <v>30465.07</v>
      </c>
      <c r="K95" s="40">
        <f t="shared" si="56"/>
        <v>1465.0699999999997</v>
      </c>
      <c r="L95" s="42"/>
      <c r="M95" s="19"/>
      <c r="N95" s="40">
        <f t="shared" si="57"/>
        <v>0</v>
      </c>
      <c r="O95" s="42"/>
      <c r="P95" s="19"/>
      <c r="Q95" s="40">
        <f t="shared" si="58"/>
        <v>0</v>
      </c>
      <c r="R95" s="42"/>
      <c r="S95" s="19"/>
      <c r="T95" s="40">
        <f t="shared" si="59"/>
        <v>0</v>
      </c>
      <c r="U95" s="42"/>
      <c r="V95" s="19"/>
      <c r="W95" s="44">
        <f t="shared" si="60"/>
        <v>0</v>
      </c>
      <c r="X95" s="42"/>
      <c r="Y95" s="19"/>
      <c r="Z95" s="40">
        <f t="shared" si="61"/>
        <v>0</v>
      </c>
      <c r="AB95" s="45">
        <f t="shared" si="52"/>
        <v>0</v>
      </c>
    </row>
    <row r="96" spans="1:28" s="45" customFormat="1" ht="13.5" outlineLevel="1">
      <c r="A96" s="46"/>
      <c r="B96" s="40" t="s">
        <v>144</v>
      </c>
      <c r="C96" s="52">
        <f t="shared" si="70"/>
        <v>0</v>
      </c>
      <c r="D96" s="118">
        <f t="shared" si="70"/>
        <v>40000</v>
      </c>
      <c r="E96" s="41">
        <f t="shared" si="53"/>
        <v>40000</v>
      </c>
      <c r="F96" s="43"/>
      <c r="G96" s="19">
        <v>40000</v>
      </c>
      <c r="H96" s="40">
        <f t="shared" si="55"/>
        <v>40000</v>
      </c>
      <c r="I96" s="43"/>
      <c r="J96" s="19"/>
      <c r="K96" s="40">
        <f t="shared" si="56"/>
        <v>0</v>
      </c>
      <c r="L96" s="42"/>
      <c r="M96" s="19"/>
      <c r="N96" s="40">
        <f t="shared" si="57"/>
        <v>0</v>
      </c>
      <c r="O96" s="42"/>
      <c r="P96" s="19"/>
      <c r="Q96" s="40">
        <f t="shared" si="58"/>
        <v>0</v>
      </c>
      <c r="R96" s="42"/>
      <c r="S96" s="19"/>
      <c r="T96" s="40">
        <f t="shared" si="59"/>
        <v>0</v>
      </c>
      <c r="U96" s="42"/>
      <c r="V96" s="19"/>
      <c r="W96" s="44">
        <f t="shared" si="60"/>
        <v>0</v>
      </c>
      <c r="X96" s="42"/>
      <c r="Y96" s="19"/>
      <c r="Z96" s="40">
        <f t="shared" si="61"/>
        <v>0</v>
      </c>
      <c r="AB96" s="45">
        <f t="shared" si="52"/>
        <v>0</v>
      </c>
    </row>
    <row r="97" spans="1:28" s="45" customFormat="1" ht="13.5" outlineLevel="1">
      <c r="A97" s="46"/>
      <c r="B97" s="40" t="s">
        <v>150</v>
      </c>
      <c r="C97" s="203">
        <f t="shared" si="70"/>
        <v>189360.22999999998</v>
      </c>
      <c r="D97" s="118">
        <f t="shared" si="70"/>
        <v>171195</v>
      </c>
      <c r="E97" s="41">
        <f t="shared" si="53"/>
        <v>-18165.22999999998</v>
      </c>
      <c r="F97" s="43"/>
      <c r="G97" s="19"/>
      <c r="H97" s="40">
        <f t="shared" si="55"/>
        <v>0</v>
      </c>
      <c r="I97" s="43">
        <f>180000-4887.45</f>
        <v>175112.55</v>
      </c>
      <c r="J97" s="19">
        <f>160000+11195</f>
        <v>171195</v>
      </c>
      <c r="K97" s="40">
        <f t="shared" si="56"/>
        <v>-3917.5499999999884</v>
      </c>
      <c r="L97" s="42"/>
      <c r="M97" s="19"/>
      <c r="N97" s="40">
        <f t="shared" si="57"/>
        <v>0</v>
      </c>
      <c r="O97" s="42"/>
      <c r="P97" s="19"/>
      <c r="Q97" s="40">
        <f t="shared" si="58"/>
        <v>0</v>
      </c>
      <c r="R97" s="42">
        <v>14247.68</v>
      </c>
      <c r="S97" s="19"/>
      <c r="T97" s="40">
        <f t="shared" si="59"/>
        <v>-14247.68</v>
      </c>
      <c r="U97" s="42"/>
      <c r="V97" s="19"/>
      <c r="W97" s="44">
        <f t="shared" si="60"/>
        <v>0</v>
      </c>
      <c r="X97" s="42"/>
      <c r="Y97" s="19"/>
      <c r="Z97" s="40">
        <f t="shared" si="61"/>
        <v>0</v>
      </c>
      <c r="AB97" s="45">
        <f t="shared" si="52"/>
        <v>-7.275957614183426E-12</v>
      </c>
    </row>
    <row r="98" spans="1:28" s="45" customFormat="1" ht="13.5" outlineLevel="1">
      <c r="A98" s="46"/>
      <c r="B98" s="40" t="s">
        <v>87</v>
      </c>
      <c r="C98" s="52">
        <f t="shared" si="70"/>
        <v>0</v>
      </c>
      <c r="D98" s="118">
        <f t="shared" si="70"/>
        <v>13923.380000000001</v>
      </c>
      <c r="E98" s="41">
        <f t="shared" si="53"/>
        <v>13923.380000000001</v>
      </c>
      <c r="F98" s="43"/>
      <c r="G98" s="19"/>
      <c r="H98" s="40">
        <f t="shared" si="55"/>
        <v>0</v>
      </c>
      <c r="I98" s="43"/>
      <c r="J98" s="19">
        <f>2443.38+11480</f>
        <v>13923.380000000001</v>
      </c>
      <c r="K98" s="40">
        <f t="shared" si="56"/>
        <v>13923.380000000001</v>
      </c>
      <c r="L98" s="42"/>
      <c r="M98" s="19"/>
      <c r="N98" s="40">
        <f t="shared" si="57"/>
        <v>0</v>
      </c>
      <c r="O98" s="42"/>
      <c r="P98" s="19"/>
      <c r="Q98" s="40">
        <f t="shared" si="58"/>
        <v>0</v>
      </c>
      <c r="R98" s="42"/>
      <c r="S98" s="19"/>
      <c r="T98" s="40">
        <f t="shared" si="59"/>
        <v>0</v>
      </c>
      <c r="U98" s="42"/>
      <c r="V98" s="19"/>
      <c r="W98" s="44">
        <f t="shared" si="60"/>
        <v>0</v>
      </c>
      <c r="X98" s="42"/>
      <c r="Y98" s="19"/>
      <c r="Z98" s="40">
        <f t="shared" si="61"/>
        <v>0</v>
      </c>
      <c r="AB98" s="45">
        <f t="shared" si="52"/>
        <v>0</v>
      </c>
    </row>
    <row r="99" spans="1:28" s="45" customFormat="1" ht="13.5" hidden="1" outlineLevel="2">
      <c r="A99" s="46"/>
      <c r="B99" s="40" t="s">
        <v>41</v>
      </c>
      <c r="C99" s="52">
        <f t="shared" si="70"/>
        <v>0</v>
      </c>
      <c r="D99" s="61">
        <f t="shared" si="70"/>
        <v>0</v>
      </c>
      <c r="E99" s="41">
        <f t="shared" si="53"/>
        <v>0</v>
      </c>
      <c r="F99" s="43"/>
      <c r="G99" s="19"/>
      <c r="H99" s="40">
        <f t="shared" si="55"/>
        <v>0</v>
      </c>
      <c r="I99" s="43"/>
      <c r="J99" s="19"/>
      <c r="K99" s="40">
        <f t="shared" si="56"/>
        <v>0</v>
      </c>
      <c r="L99" s="42"/>
      <c r="M99" s="19"/>
      <c r="N99" s="40">
        <f t="shared" si="57"/>
        <v>0</v>
      </c>
      <c r="O99" s="42"/>
      <c r="P99" s="19"/>
      <c r="Q99" s="40">
        <f t="shared" si="58"/>
        <v>0</v>
      </c>
      <c r="R99" s="42"/>
      <c r="S99" s="19"/>
      <c r="T99" s="40">
        <f t="shared" si="59"/>
        <v>0</v>
      </c>
      <c r="U99" s="42"/>
      <c r="V99" s="19"/>
      <c r="W99" s="44">
        <f t="shared" si="60"/>
        <v>0</v>
      </c>
      <c r="X99" s="42"/>
      <c r="Y99" s="19"/>
      <c r="Z99" s="40">
        <f t="shared" si="61"/>
        <v>0</v>
      </c>
      <c r="AB99" s="45">
        <f t="shared" si="52"/>
        <v>0</v>
      </c>
    </row>
    <row r="100" spans="1:28" s="45" customFormat="1" ht="13.5" outlineLevel="1" collapsed="1">
      <c r="A100" s="46"/>
      <c r="B100" s="40" t="s">
        <v>108</v>
      </c>
      <c r="C100" s="52">
        <f t="shared" si="70"/>
        <v>0</v>
      </c>
      <c r="D100" s="118">
        <f t="shared" si="70"/>
        <v>185000</v>
      </c>
      <c r="E100" s="41">
        <f t="shared" si="53"/>
        <v>185000</v>
      </c>
      <c r="F100" s="43"/>
      <c r="G100" s="19"/>
      <c r="H100" s="40">
        <f t="shared" si="55"/>
        <v>0</v>
      </c>
      <c r="I100" s="43"/>
      <c r="J100" s="19"/>
      <c r="K100" s="40">
        <f t="shared" si="56"/>
        <v>0</v>
      </c>
      <c r="L100" s="42"/>
      <c r="M100" s="19">
        <v>185000</v>
      </c>
      <c r="N100" s="40">
        <f t="shared" si="57"/>
        <v>185000</v>
      </c>
      <c r="O100" s="42"/>
      <c r="P100" s="19"/>
      <c r="Q100" s="40">
        <f t="shared" si="58"/>
        <v>0</v>
      </c>
      <c r="R100" s="42"/>
      <c r="S100" s="19"/>
      <c r="T100" s="40">
        <f t="shared" si="59"/>
        <v>0</v>
      </c>
      <c r="U100" s="42"/>
      <c r="V100" s="19"/>
      <c r="W100" s="44">
        <f t="shared" si="60"/>
        <v>0</v>
      </c>
      <c r="X100" s="42"/>
      <c r="Y100" s="19"/>
      <c r="Z100" s="40">
        <f t="shared" si="61"/>
        <v>0</v>
      </c>
      <c r="AB100" s="45">
        <f t="shared" si="52"/>
        <v>0</v>
      </c>
    </row>
    <row r="101" spans="1:28" s="45" customFormat="1" ht="13.5" outlineLevel="1">
      <c r="A101" s="46"/>
      <c r="B101" s="40" t="s">
        <v>143</v>
      </c>
      <c r="C101" s="52">
        <f t="shared" si="70"/>
        <v>0</v>
      </c>
      <c r="D101" s="118">
        <f t="shared" si="70"/>
        <v>71662.91</v>
      </c>
      <c r="E101" s="41">
        <f t="shared" si="53"/>
        <v>71662.91</v>
      </c>
      <c r="F101" s="43"/>
      <c r="G101" s="19"/>
      <c r="H101" s="40">
        <f t="shared" si="55"/>
        <v>0</v>
      </c>
      <c r="I101" s="43"/>
      <c r="J101" s="19"/>
      <c r="K101" s="40">
        <f t="shared" si="56"/>
        <v>0</v>
      </c>
      <c r="L101" s="42"/>
      <c r="M101" s="19">
        <f>(2000+2509.6)*6-490.39</f>
        <v>26567.210000000003</v>
      </c>
      <c r="N101" s="40">
        <f t="shared" si="57"/>
        <v>26567.210000000003</v>
      </c>
      <c r="O101" s="42"/>
      <c r="P101" s="19">
        <f>(2000+2509.5)*3</f>
        <v>13528.5</v>
      </c>
      <c r="Q101" s="40">
        <f t="shared" si="58"/>
        <v>13528.5</v>
      </c>
      <c r="R101" s="42"/>
      <c r="S101" s="19">
        <f>(2000+2509.6)*2</f>
        <v>9019.2</v>
      </c>
      <c r="T101" s="40">
        <f t="shared" si="59"/>
        <v>9019.2</v>
      </c>
      <c r="U101" s="42"/>
      <c r="V101" s="19">
        <f>(2000+2509.6)*2</f>
        <v>9019.2</v>
      </c>
      <c r="W101" s="44">
        <f t="shared" si="60"/>
        <v>9019.2</v>
      </c>
      <c r="X101" s="42"/>
      <c r="Y101" s="19">
        <f>(2000+2509.6)*3</f>
        <v>13528.800000000001</v>
      </c>
      <c r="Z101" s="40">
        <f t="shared" si="61"/>
        <v>13528.800000000001</v>
      </c>
      <c r="AB101" s="45">
        <f t="shared" si="52"/>
        <v>0</v>
      </c>
    </row>
    <row r="102" spans="1:28" s="45" customFormat="1" ht="13.5" hidden="1" outlineLevel="2">
      <c r="A102" s="46"/>
      <c r="B102" s="40" t="s">
        <v>55</v>
      </c>
      <c r="C102" s="52">
        <f t="shared" si="70"/>
        <v>0</v>
      </c>
      <c r="D102" s="61">
        <f t="shared" si="70"/>
        <v>0</v>
      </c>
      <c r="E102" s="41">
        <f t="shared" si="53"/>
        <v>0</v>
      </c>
      <c r="F102" s="43"/>
      <c r="G102" s="19"/>
      <c r="H102" s="40">
        <f t="shared" si="55"/>
        <v>0</v>
      </c>
      <c r="I102" s="43"/>
      <c r="J102" s="19"/>
      <c r="K102" s="40">
        <f t="shared" si="56"/>
        <v>0</v>
      </c>
      <c r="L102" s="42"/>
      <c r="M102" s="19"/>
      <c r="N102" s="40">
        <f t="shared" si="57"/>
        <v>0</v>
      </c>
      <c r="O102" s="42"/>
      <c r="P102" s="19"/>
      <c r="Q102" s="40">
        <f t="shared" si="58"/>
        <v>0</v>
      </c>
      <c r="R102" s="42"/>
      <c r="S102" s="19"/>
      <c r="T102" s="40">
        <f t="shared" si="59"/>
        <v>0</v>
      </c>
      <c r="U102" s="42"/>
      <c r="V102" s="19"/>
      <c r="W102" s="44">
        <f t="shared" si="60"/>
        <v>0</v>
      </c>
      <c r="X102" s="42"/>
      <c r="Y102" s="19"/>
      <c r="Z102" s="40">
        <f t="shared" si="61"/>
        <v>0</v>
      </c>
      <c r="AB102" s="45">
        <f t="shared" si="52"/>
        <v>0</v>
      </c>
    </row>
    <row r="103" spans="1:28" s="45" customFormat="1" ht="13.5" outlineLevel="1" collapsed="1">
      <c r="A103" s="46"/>
      <c r="B103" s="95" t="s">
        <v>105</v>
      </c>
      <c r="C103" s="52">
        <f t="shared" si="70"/>
        <v>0</v>
      </c>
      <c r="D103" s="118">
        <f t="shared" si="70"/>
        <v>183972</v>
      </c>
      <c r="E103" s="41">
        <f t="shared" si="53"/>
        <v>183972</v>
      </c>
      <c r="F103" s="43"/>
      <c r="G103" s="19"/>
      <c r="H103" s="40">
        <f t="shared" si="55"/>
        <v>0</v>
      </c>
      <c r="I103" s="43"/>
      <c r="J103" s="19">
        <v>183972</v>
      </c>
      <c r="K103" s="40">
        <f t="shared" si="56"/>
        <v>183972</v>
      </c>
      <c r="L103" s="42"/>
      <c r="M103" s="19">
        <f>+L103</f>
        <v>0</v>
      </c>
      <c r="N103" s="40">
        <f t="shared" si="57"/>
        <v>0</v>
      </c>
      <c r="O103" s="42"/>
      <c r="P103" s="19"/>
      <c r="Q103" s="40">
        <f t="shared" si="58"/>
        <v>0</v>
      </c>
      <c r="R103" s="42"/>
      <c r="S103" s="19"/>
      <c r="T103" s="40">
        <f t="shared" si="59"/>
        <v>0</v>
      </c>
      <c r="U103" s="42"/>
      <c r="V103" s="19"/>
      <c r="W103" s="44">
        <f t="shared" si="60"/>
        <v>0</v>
      </c>
      <c r="X103" s="42"/>
      <c r="Y103" s="19"/>
      <c r="Z103" s="40">
        <f t="shared" si="61"/>
        <v>0</v>
      </c>
      <c r="AB103" s="45">
        <f t="shared" si="52"/>
        <v>0</v>
      </c>
    </row>
    <row r="104" spans="1:28" s="45" customFormat="1" ht="13.5" outlineLevel="1">
      <c r="A104" s="46"/>
      <c r="B104" s="95" t="s">
        <v>142</v>
      </c>
      <c r="C104" s="52">
        <f t="shared" si="70"/>
        <v>0</v>
      </c>
      <c r="D104" s="118">
        <f t="shared" si="70"/>
        <v>24448.65</v>
      </c>
      <c r="E104" s="41">
        <f t="shared" si="53"/>
        <v>24448.65</v>
      </c>
      <c r="F104" s="43"/>
      <c r="G104" s="19"/>
      <c r="H104" s="40">
        <f>+G104-F104</f>
        <v>0</v>
      </c>
      <c r="I104" s="43"/>
      <c r="J104" s="19"/>
      <c r="K104" s="40">
        <f>+J104-I104</f>
        <v>0</v>
      </c>
      <c r="L104" s="42"/>
      <c r="M104" s="19">
        <v>24448.65</v>
      </c>
      <c r="N104" s="40">
        <f t="shared" si="57"/>
        <v>24448.65</v>
      </c>
      <c r="O104" s="42"/>
      <c r="P104" s="19"/>
      <c r="Q104" s="40">
        <f t="shared" si="58"/>
        <v>0</v>
      </c>
      <c r="R104" s="42"/>
      <c r="S104" s="19"/>
      <c r="T104" s="40">
        <f t="shared" si="59"/>
        <v>0</v>
      </c>
      <c r="U104" s="42"/>
      <c r="V104" s="19"/>
      <c r="W104" s="44">
        <f t="shared" si="60"/>
        <v>0</v>
      </c>
      <c r="X104" s="42"/>
      <c r="Y104" s="19"/>
      <c r="Z104" s="40">
        <f t="shared" si="61"/>
        <v>0</v>
      </c>
      <c r="AB104" s="45">
        <f t="shared" si="52"/>
        <v>0</v>
      </c>
    </row>
    <row r="105" spans="1:28" s="45" customFormat="1" ht="13.5" outlineLevel="1">
      <c r="A105" s="46"/>
      <c r="B105" s="95" t="s">
        <v>151</v>
      </c>
      <c r="C105" s="52">
        <f t="shared" si="70"/>
        <v>0</v>
      </c>
      <c r="D105" s="118">
        <f t="shared" si="70"/>
        <v>11615.71</v>
      </c>
      <c r="E105" s="41">
        <f t="shared" si="53"/>
        <v>11615.71</v>
      </c>
      <c r="F105" s="43"/>
      <c r="G105" s="19">
        <v>8445.8</v>
      </c>
      <c r="H105" s="40">
        <f>+G105-F105</f>
        <v>8445.8</v>
      </c>
      <c r="I105" s="43"/>
      <c r="J105" s="19"/>
      <c r="K105" s="40">
        <f>+J105-I105</f>
        <v>0</v>
      </c>
      <c r="L105" s="42"/>
      <c r="M105" s="19"/>
      <c r="N105" s="40">
        <f t="shared" si="57"/>
        <v>0</v>
      </c>
      <c r="O105" s="42"/>
      <c r="P105" s="19"/>
      <c r="Q105" s="40">
        <f t="shared" si="58"/>
        <v>0</v>
      </c>
      <c r="R105" s="42"/>
      <c r="S105" s="19"/>
      <c r="T105" s="40">
        <f t="shared" si="59"/>
        <v>0</v>
      </c>
      <c r="U105" s="42"/>
      <c r="V105" s="19"/>
      <c r="W105" s="44">
        <f t="shared" si="60"/>
        <v>0</v>
      </c>
      <c r="X105" s="42"/>
      <c r="Y105" s="19">
        <v>3169.91</v>
      </c>
      <c r="Z105" s="40">
        <f t="shared" si="61"/>
        <v>3169.91</v>
      </c>
      <c r="AB105" s="45">
        <f t="shared" si="52"/>
        <v>0</v>
      </c>
    </row>
    <row r="106" spans="1:28" s="45" customFormat="1" ht="13.5" hidden="1" outlineLevel="2">
      <c r="A106" s="46"/>
      <c r="B106" s="95" t="s">
        <v>106</v>
      </c>
      <c r="C106" s="52">
        <f t="shared" si="70"/>
        <v>0</v>
      </c>
      <c r="D106" s="61">
        <f t="shared" si="70"/>
        <v>0</v>
      </c>
      <c r="E106" s="41">
        <f t="shared" si="53"/>
        <v>0</v>
      </c>
      <c r="F106" s="43">
        <f>SUM(F107:F108)</f>
        <v>0</v>
      </c>
      <c r="G106" s="19">
        <f>SUM(G107:G108)</f>
        <v>0</v>
      </c>
      <c r="H106" s="40">
        <f t="shared" si="55"/>
        <v>0</v>
      </c>
      <c r="I106" s="43">
        <f>SUM(I107:I108)</f>
        <v>0</v>
      </c>
      <c r="J106" s="19">
        <f>SUM(J107:J108)</f>
        <v>0</v>
      </c>
      <c r="K106" s="40">
        <f t="shared" si="56"/>
        <v>0</v>
      </c>
      <c r="L106" s="42">
        <f>SUM(L107:L108)</f>
        <v>0</v>
      </c>
      <c r="M106" s="19">
        <f>SUM(M107:M108)</f>
        <v>0</v>
      </c>
      <c r="N106" s="40">
        <f t="shared" si="57"/>
        <v>0</v>
      </c>
      <c r="O106" s="42">
        <f>SUM(O107:O108)</f>
        <v>0</v>
      </c>
      <c r="P106" s="19">
        <f>SUM(P107:P108)</f>
        <v>0</v>
      </c>
      <c r="Q106" s="40">
        <f t="shared" si="58"/>
        <v>0</v>
      </c>
      <c r="R106" s="42">
        <f>SUM(R107:R108)</f>
        <v>0</v>
      </c>
      <c r="S106" s="42">
        <f>SUM(S107:S108)</f>
        <v>0</v>
      </c>
      <c r="T106" s="40">
        <f t="shared" si="59"/>
        <v>0</v>
      </c>
      <c r="U106" s="42">
        <f>SUM(U107:U108)</f>
        <v>0</v>
      </c>
      <c r="V106" s="42">
        <f>SUM(V107:V108)</f>
        <v>0</v>
      </c>
      <c r="W106" s="40">
        <f t="shared" si="60"/>
        <v>0</v>
      </c>
      <c r="X106" s="42">
        <f>SUM(X107:X108)</f>
        <v>0</v>
      </c>
      <c r="Y106" s="19">
        <f>SUM(Y107:Y108)</f>
        <v>0</v>
      </c>
      <c r="Z106" s="40">
        <f t="shared" si="61"/>
        <v>0</v>
      </c>
      <c r="AB106" s="45">
        <f t="shared" si="52"/>
        <v>0</v>
      </c>
    </row>
    <row r="107" spans="1:28" s="45" customFormat="1" ht="13.5" hidden="1" outlineLevel="2">
      <c r="A107" s="46"/>
      <c r="B107" s="117" t="s">
        <v>107</v>
      </c>
      <c r="C107" s="52">
        <f>+F107+I107+L107+O107+R107+U107+X107</f>
        <v>0</v>
      </c>
      <c r="D107" s="61">
        <f>+G107+J107+M107+P107+S107+V107+Y107</f>
        <v>0</v>
      </c>
      <c r="E107" s="41">
        <f>+D107-C107</f>
        <v>0</v>
      </c>
      <c r="F107" s="43"/>
      <c r="G107" s="19"/>
      <c r="H107" s="40">
        <f t="shared" si="55"/>
        <v>0</v>
      </c>
      <c r="I107" s="43"/>
      <c r="J107" s="19"/>
      <c r="K107" s="40">
        <f t="shared" si="56"/>
        <v>0</v>
      </c>
      <c r="L107" s="42"/>
      <c r="M107" s="19"/>
      <c r="N107" s="40">
        <f>+M107-L107</f>
        <v>0</v>
      </c>
      <c r="O107" s="42"/>
      <c r="P107" s="19"/>
      <c r="Q107" s="40">
        <f>+P107-O107</f>
        <v>0</v>
      </c>
      <c r="R107" s="42"/>
      <c r="S107" s="19"/>
      <c r="T107" s="40">
        <f>+S107-R107</f>
        <v>0</v>
      </c>
      <c r="U107" s="42"/>
      <c r="V107" s="19"/>
      <c r="W107" s="44">
        <f>+V107-U107</f>
        <v>0</v>
      </c>
      <c r="X107" s="42"/>
      <c r="Y107" s="19"/>
      <c r="Z107" s="40">
        <f>+Y107-X107</f>
        <v>0</v>
      </c>
      <c r="AB107" s="45">
        <f t="shared" si="52"/>
        <v>0</v>
      </c>
    </row>
    <row r="108" spans="1:28" s="45" customFormat="1" ht="13.5" hidden="1" outlineLevel="2">
      <c r="A108" s="46"/>
      <c r="B108" s="117" t="s">
        <v>61</v>
      </c>
      <c r="C108" s="52">
        <f>+F108+I108+L108+O108+R108+U108+X108</f>
        <v>0</v>
      </c>
      <c r="D108" s="61">
        <f>+G108+J108+M108+P108+S108+V108+Y108</f>
        <v>0</v>
      </c>
      <c r="E108" s="41">
        <f>+D108-C108</f>
        <v>0</v>
      </c>
      <c r="F108" s="43"/>
      <c r="G108" s="19"/>
      <c r="H108" s="40">
        <f t="shared" si="55"/>
        <v>0</v>
      </c>
      <c r="I108" s="43"/>
      <c r="J108" s="19"/>
      <c r="K108" s="40">
        <f t="shared" si="56"/>
        <v>0</v>
      </c>
      <c r="L108" s="42"/>
      <c r="M108" s="19"/>
      <c r="N108" s="40">
        <f>+M108-L108</f>
        <v>0</v>
      </c>
      <c r="O108" s="42"/>
      <c r="P108" s="19"/>
      <c r="Q108" s="40">
        <f>+P108-O108</f>
        <v>0</v>
      </c>
      <c r="R108" s="42"/>
      <c r="S108" s="19"/>
      <c r="T108" s="40">
        <f>+S108-R108</f>
        <v>0</v>
      </c>
      <c r="U108" s="42"/>
      <c r="V108" s="19"/>
      <c r="W108" s="40">
        <f>+V108-U108</f>
        <v>0</v>
      </c>
      <c r="X108" s="150"/>
      <c r="Y108" s="127"/>
      <c r="Z108" s="40">
        <f>+Y108-X108</f>
        <v>0</v>
      </c>
      <c r="AA108" s="198"/>
      <c r="AB108" s="45">
        <f t="shared" si="52"/>
        <v>0</v>
      </c>
    </row>
    <row r="109" spans="1:28" s="45" customFormat="1" ht="14.25" outlineLevel="1" collapsed="1" thickBot="1">
      <c r="A109" s="46"/>
      <c r="B109" s="95"/>
      <c r="C109" s="52"/>
      <c r="D109" s="61"/>
      <c r="E109" s="41">
        <f t="shared" si="53"/>
        <v>0</v>
      </c>
      <c r="F109" s="43"/>
      <c r="G109" s="19"/>
      <c r="H109" s="40">
        <f t="shared" si="55"/>
        <v>0</v>
      </c>
      <c r="I109" s="43"/>
      <c r="J109" s="19"/>
      <c r="K109" s="40">
        <f t="shared" si="56"/>
        <v>0</v>
      </c>
      <c r="L109" s="100"/>
      <c r="M109" s="101"/>
      <c r="N109" s="98">
        <f t="shared" si="57"/>
        <v>0</v>
      </c>
      <c r="O109" s="42"/>
      <c r="P109" s="19"/>
      <c r="Q109" s="40">
        <f t="shared" si="58"/>
        <v>0</v>
      </c>
      <c r="R109" s="42"/>
      <c r="S109" s="19"/>
      <c r="T109" s="40">
        <f t="shared" si="59"/>
        <v>0</v>
      </c>
      <c r="U109" s="42"/>
      <c r="V109" s="19"/>
      <c r="W109" s="44">
        <f t="shared" si="60"/>
        <v>0</v>
      </c>
      <c r="X109" s="42"/>
      <c r="Y109" s="19"/>
      <c r="Z109" s="40">
        <f t="shared" si="61"/>
        <v>0</v>
      </c>
      <c r="AB109" s="45">
        <f t="shared" si="52"/>
        <v>0</v>
      </c>
    </row>
    <row r="110" spans="1:28" s="196" customFormat="1" ht="31.5" outlineLevel="1">
      <c r="A110" s="86">
        <v>2</v>
      </c>
      <c r="B110" s="147" t="s">
        <v>51</v>
      </c>
      <c r="C110" s="66">
        <f>SUM(C111:C114)</f>
        <v>515910.69999999995</v>
      </c>
      <c r="D110" s="88">
        <f>SUM(D111:D114)</f>
        <v>559382.24</v>
      </c>
      <c r="E110" s="89">
        <f t="shared" si="53"/>
        <v>43471.54000000004</v>
      </c>
      <c r="F110" s="92">
        <f>SUM(F111:F114)</f>
        <v>154943.83000000002</v>
      </c>
      <c r="G110" s="91">
        <f aca="true" t="shared" si="71" ref="G110:Y110">SUM(G111:G114)</f>
        <v>166193.06999999998</v>
      </c>
      <c r="H110" s="89">
        <f t="shared" si="55"/>
        <v>11249.239999999962</v>
      </c>
      <c r="I110" s="92">
        <f t="shared" si="71"/>
        <v>50310.47</v>
      </c>
      <c r="J110" s="91">
        <f t="shared" si="71"/>
        <v>52088.58</v>
      </c>
      <c r="K110" s="89">
        <f t="shared" si="71"/>
        <v>1778.1099999999938</v>
      </c>
      <c r="L110" s="90">
        <f t="shared" si="71"/>
        <v>111084.26</v>
      </c>
      <c r="M110" s="91">
        <f t="shared" si="71"/>
        <v>134566.66</v>
      </c>
      <c r="N110" s="89">
        <f t="shared" si="57"/>
        <v>23482.40000000001</v>
      </c>
      <c r="O110" s="90">
        <f t="shared" si="71"/>
        <v>52263.28</v>
      </c>
      <c r="P110" s="91">
        <f t="shared" si="71"/>
        <v>64371.17</v>
      </c>
      <c r="Q110" s="89">
        <f t="shared" si="58"/>
        <v>12107.89</v>
      </c>
      <c r="R110" s="90">
        <f t="shared" si="71"/>
        <v>32607.97</v>
      </c>
      <c r="S110" s="91">
        <f t="shared" si="71"/>
        <v>38976.23</v>
      </c>
      <c r="T110" s="89">
        <f t="shared" si="59"/>
        <v>6368.260000000002</v>
      </c>
      <c r="U110" s="90">
        <f t="shared" si="71"/>
        <v>32567.29</v>
      </c>
      <c r="V110" s="91">
        <f t="shared" si="71"/>
        <v>38937.8</v>
      </c>
      <c r="W110" s="93">
        <f t="shared" si="60"/>
        <v>6370.510000000002</v>
      </c>
      <c r="X110" s="90">
        <f t="shared" si="71"/>
        <v>52133.600000000006</v>
      </c>
      <c r="Y110" s="91">
        <f t="shared" si="71"/>
        <v>64248.729999999996</v>
      </c>
      <c r="Z110" s="89">
        <f t="shared" si="61"/>
        <v>12115.12999999999</v>
      </c>
      <c r="AB110" s="196">
        <f t="shared" si="52"/>
        <v>29999.999999999884</v>
      </c>
    </row>
    <row r="111" spans="1:28" s="45" customFormat="1" ht="13.5" outlineLevel="1">
      <c r="A111" s="46"/>
      <c r="B111" s="40" t="s">
        <v>52</v>
      </c>
      <c r="C111" s="52">
        <f>112200-43228</f>
        <v>68972</v>
      </c>
      <c r="D111" s="118">
        <f>+G111+J111+M111+P111+S111+V111+Y111</f>
        <v>100559.99999999997</v>
      </c>
      <c r="E111" s="41">
        <f t="shared" si="53"/>
        <v>31587.99999999997</v>
      </c>
      <c r="F111" s="43">
        <f aca="true" t="shared" si="72" ref="F111:G114">+C111-I111-L111-O111-R111-U111-X111</f>
        <v>21993.309999999998</v>
      </c>
      <c r="G111" s="19">
        <v>19887.01</v>
      </c>
      <c r="H111" s="40">
        <f t="shared" si="55"/>
        <v>-2106.2999999999993</v>
      </c>
      <c r="I111" s="43">
        <f aca="true" t="shared" si="73" ref="I111:J114">+ROUND(C111/$C$8*$I$8,2)</f>
        <v>7141.26</v>
      </c>
      <c r="J111" s="19">
        <v>4582.82</v>
      </c>
      <c r="K111" s="40">
        <f>+J111-I111</f>
        <v>-2558.4400000000005</v>
      </c>
      <c r="L111" s="42">
        <f aca="true" t="shared" si="74" ref="L111:M114">+ROUND(C111/$C$8*$L$8,2)</f>
        <v>15767.72</v>
      </c>
      <c r="M111" s="19">
        <f>30042.92-4582.82+4215</f>
        <v>29675.1</v>
      </c>
      <c r="N111" s="40">
        <f t="shared" si="57"/>
        <v>13907.38</v>
      </c>
      <c r="O111" s="42">
        <f aca="true" t="shared" si="75" ref="O111:P114">+ROUND(C111/$C$8*$O$8,2)</f>
        <v>7418.45</v>
      </c>
      <c r="P111" s="19">
        <v>15021.46</v>
      </c>
      <c r="Q111" s="40">
        <f t="shared" si="58"/>
        <v>7603.009999999999</v>
      </c>
      <c r="R111" s="42">
        <f aca="true" t="shared" si="76" ref="R111:S114">+ROUND(C111/$C$8*$R$8,2)</f>
        <v>4628.5</v>
      </c>
      <c r="S111" s="19">
        <v>8186.08</v>
      </c>
      <c r="T111" s="40">
        <f t="shared" si="59"/>
        <v>3557.58</v>
      </c>
      <c r="U111" s="42">
        <f aca="true" t="shared" si="77" ref="U111:V114">+ROUND(C111/$C$8*$U$8,2)</f>
        <v>4622.72</v>
      </c>
      <c r="V111" s="19">
        <v>8186.07</v>
      </c>
      <c r="W111" s="44">
        <f t="shared" si="60"/>
        <v>3563.3499999999995</v>
      </c>
      <c r="X111" s="42">
        <f aca="true" t="shared" si="78" ref="X111:Y114">+ROUND(C111/$C$8*$X$8,2)</f>
        <v>7400.04</v>
      </c>
      <c r="Y111" s="19">
        <v>15021.46</v>
      </c>
      <c r="Z111" s="40">
        <f t="shared" si="61"/>
        <v>7621.419999999999</v>
      </c>
      <c r="AB111" s="45">
        <f t="shared" si="52"/>
        <v>0</v>
      </c>
    </row>
    <row r="112" spans="1:26" s="45" customFormat="1" ht="13.5" outlineLevel="1">
      <c r="A112" s="46"/>
      <c r="B112" s="40" t="s">
        <v>61</v>
      </c>
      <c r="C112" s="239">
        <v>30000</v>
      </c>
      <c r="D112" s="118">
        <f>8440.04+250+5100+585+14041</f>
        <v>28416.04</v>
      </c>
      <c r="E112" s="41">
        <f>+D112-C112</f>
        <v>-1583.9599999999991</v>
      </c>
      <c r="F112" s="43"/>
      <c r="G112" s="19">
        <f t="shared" si="72"/>
        <v>9061.129999999997</v>
      </c>
      <c r="H112" s="40">
        <f t="shared" si="55"/>
        <v>9061.129999999997</v>
      </c>
      <c r="I112" s="43"/>
      <c r="J112" s="19">
        <f t="shared" si="73"/>
        <v>2942.15</v>
      </c>
      <c r="K112" s="40">
        <f>+J112-I112</f>
        <v>2942.15</v>
      </c>
      <c r="L112" s="42"/>
      <c r="M112" s="19">
        <f t="shared" si="74"/>
        <v>6496.2</v>
      </c>
      <c r="N112" s="40">
        <f t="shared" si="57"/>
        <v>6496.2</v>
      </c>
      <c r="O112" s="42"/>
      <c r="P112" s="19">
        <f t="shared" si="75"/>
        <v>3056.35</v>
      </c>
      <c r="Q112" s="40">
        <f t="shared" si="58"/>
        <v>3056.35</v>
      </c>
      <c r="R112" s="42"/>
      <c r="S112" s="19">
        <f t="shared" si="76"/>
        <v>1906.91</v>
      </c>
      <c r="T112" s="40">
        <f t="shared" si="59"/>
        <v>1906.91</v>
      </c>
      <c r="U112" s="42"/>
      <c r="V112" s="19">
        <f t="shared" si="77"/>
        <v>1904.53</v>
      </c>
      <c r="W112" s="44">
        <f t="shared" si="60"/>
        <v>1904.53</v>
      </c>
      <c r="X112" s="42"/>
      <c r="Y112" s="19">
        <f t="shared" si="78"/>
        <v>3048.77</v>
      </c>
      <c r="Z112" s="40">
        <f t="shared" si="61"/>
        <v>3048.77</v>
      </c>
    </row>
    <row r="113" spans="1:28" s="45" customFormat="1" ht="13.5" outlineLevel="1">
      <c r="A113" s="46"/>
      <c r="B113" s="40" t="s">
        <v>58</v>
      </c>
      <c r="C113" s="52">
        <v>346870.8</v>
      </c>
      <c r="D113" s="61">
        <f>405391.53-46719.7</f>
        <v>358671.83</v>
      </c>
      <c r="E113" s="41">
        <f t="shared" si="53"/>
        <v>11801.030000000028</v>
      </c>
      <c r="F113" s="43">
        <f t="shared" si="72"/>
        <v>110607.76000000001</v>
      </c>
      <c r="G113" s="19">
        <f t="shared" si="72"/>
        <v>114370.77999999998</v>
      </c>
      <c r="H113" s="40">
        <f t="shared" si="55"/>
        <v>3763.019999999975</v>
      </c>
      <c r="I113" s="43">
        <f t="shared" si="73"/>
        <v>35914.48</v>
      </c>
      <c r="J113" s="19">
        <f t="shared" si="73"/>
        <v>37136.34</v>
      </c>
      <c r="K113" s="40">
        <f>+J113-I113</f>
        <v>1221.8599999999933</v>
      </c>
      <c r="L113" s="42">
        <f t="shared" si="74"/>
        <v>79298.29</v>
      </c>
      <c r="M113" s="19">
        <f t="shared" si="74"/>
        <v>81996.13</v>
      </c>
      <c r="N113" s="40">
        <f t="shared" si="57"/>
        <v>2697.840000000011</v>
      </c>
      <c r="O113" s="42">
        <f t="shared" si="75"/>
        <v>37308.51</v>
      </c>
      <c r="P113" s="19">
        <f t="shared" si="75"/>
        <v>38577.8</v>
      </c>
      <c r="Q113" s="40">
        <f t="shared" si="58"/>
        <v>1269.2900000000009</v>
      </c>
      <c r="R113" s="42">
        <f t="shared" si="76"/>
        <v>23277.43</v>
      </c>
      <c r="S113" s="19">
        <f t="shared" si="76"/>
        <v>24069.37</v>
      </c>
      <c r="T113" s="40">
        <f t="shared" si="59"/>
        <v>791.9399999999987</v>
      </c>
      <c r="U113" s="42">
        <f t="shared" si="77"/>
        <v>23248.39</v>
      </c>
      <c r="V113" s="19">
        <f t="shared" si="77"/>
        <v>24039.33</v>
      </c>
      <c r="W113" s="44">
        <f t="shared" si="60"/>
        <v>790.9400000000023</v>
      </c>
      <c r="X113" s="42">
        <f t="shared" si="78"/>
        <v>37215.94</v>
      </c>
      <c r="Y113" s="19">
        <f t="shared" si="78"/>
        <v>38482.08</v>
      </c>
      <c r="Z113" s="40">
        <f t="shared" si="61"/>
        <v>1266.1399999999994</v>
      </c>
      <c r="AB113" s="45">
        <f t="shared" si="52"/>
        <v>0</v>
      </c>
    </row>
    <row r="114" spans="1:28" s="45" customFormat="1" ht="14.25" outlineLevel="1" thickBot="1">
      <c r="A114" s="46"/>
      <c r="B114" s="40" t="s">
        <v>57</v>
      </c>
      <c r="C114" s="52">
        <v>70067.9</v>
      </c>
      <c r="D114" s="118">
        <f>ROUND(D113*0.2,2)</f>
        <v>71734.37</v>
      </c>
      <c r="E114" s="41">
        <f t="shared" si="53"/>
        <v>1666.4700000000012</v>
      </c>
      <c r="F114" s="43">
        <f t="shared" si="72"/>
        <v>22342.76</v>
      </c>
      <c r="G114" s="19">
        <f t="shared" si="72"/>
        <v>22874.149999999994</v>
      </c>
      <c r="H114" s="40">
        <f t="shared" si="55"/>
        <v>531.3899999999958</v>
      </c>
      <c r="I114" s="43">
        <f t="shared" si="73"/>
        <v>7254.73</v>
      </c>
      <c r="J114" s="19">
        <f t="shared" si="73"/>
        <v>7427.27</v>
      </c>
      <c r="K114" s="40">
        <f>+J114-I114</f>
        <v>172.54000000000087</v>
      </c>
      <c r="L114" s="42">
        <f t="shared" si="74"/>
        <v>16018.25</v>
      </c>
      <c r="M114" s="19">
        <f t="shared" si="74"/>
        <v>16399.23</v>
      </c>
      <c r="N114" s="40">
        <f t="shared" si="57"/>
        <v>380.97999999999956</v>
      </c>
      <c r="O114" s="42">
        <f t="shared" si="75"/>
        <v>7536.32</v>
      </c>
      <c r="P114" s="19">
        <f t="shared" si="75"/>
        <v>7715.56</v>
      </c>
      <c r="Q114" s="40">
        <f t="shared" si="58"/>
        <v>179.2400000000007</v>
      </c>
      <c r="R114" s="42">
        <f t="shared" si="76"/>
        <v>4702.04</v>
      </c>
      <c r="S114" s="19">
        <f t="shared" si="76"/>
        <v>4813.87</v>
      </c>
      <c r="T114" s="40">
        <f t="shared" si="59"/>
        <v>111.82999999999993</v>
      </c>
      <c r="U114" s="42">
        <f t="shared" si="77"/>
        <v>4696.18</v>
      </c>
      <c r="V114" s="19">
        <f t="shared" si="77"/>
        <v>4807.87</v>
      </c>
      <c r="W114" s="44">
        <f t="shared" si="60"/>
        <v>111.6899999999996</v>
      </c>
      <c r="X114" s="42">
        <f t="shared" si="78"/>
        <v>7517.62</v>
      </c>
      <c r="Y114" s="19">
        <f t="shared" si="78"/>
        <v>7696.42</v>
      </c>
      <c r="Z114" s="40">
        <f t="shared" si="61"/>
        <v>178.80000000000018</v>
      </c>
      <c r="AB114" s="45">
        <f t="shared" si="52"/>
        <v>0</v>
      </c>
    </row>
    <row r="115" spans="1:28" s="196" customFormat="1" ht="31.5" outlineLevel="1">
      <c r="A115" s="86">
        <v>3</v>
      </c>
      <c r="B115" s="147" t="s">
        <v>60</v>
      </c>
      <c r="C115" s="66">
        <f>SUM(C116:C118)</f>
        <v>716475.37</v>
      </c>
      <c r="D115" s="88">
        <f>SUM(D116:D118)</f>
        <v>701237.65</v>
      </c>
      <c r="E115" s="89">
        <f t="shared" si="53"/>
        <v>-15237.719999999972</v>
      </c>
      <c r="F115" s="92">
        <f>SUM(F116:F118)</f>
        <v>228464.68</v>
      </c>
      <c r="G115" s="91">
        <f aca="true" t="shared" si="79" ref="G115:Y115">SUM(G116:G118)</f>
        <v>250441.38</v>
      </c>
      <c r="H115" s="89">
        <f t="shared" si="55"/>
        <v>21976.70000000001</v>
      </c>
      <c r="I115" s="92">
        <f t="shared" si="79"/>
        <v>74182.78</v>
      </c>
      <c r="J115" s="91">
        <f t="shared" si="79"/>
        <v>87050.19</v>
      </c>
      <c r="K115" s="89">
        <f t="shared" si="79"/>
        <v>12867.410000000007</v>
      </c>
      <c r="L115" s="90">
        <f t="shared" si="79"/>
        <v>163793.75</v>
      </c>
      <c r="M115" s="91">
        <f t="shared" si="79"/>
        <v>127271.65000000001</v>
      </c>
      <c r="N115" s="89">
        <f t="shared" si="57"/>
        <v>-36522.09999999999</v>
      </c>
      <c r="O115" s="90">
        <f t="shared" si="79"/>
        <v>77062.20999999999</v>
      </c>
      <c r="P115" s="91">
        <f t="shared" si="79"/>
        <v>60001.630000000005</v>
      </c>
      <c r="Q115" s="89">
        <f t="shared" si="58"/>
        <v>-17060.579999999987</v>
      </c>
      <c r="R115" s="90">
        <f t="shared" si="79"/>
        <v>48080.46</v>
      </c>
      <c r="S115" s="91">
        <f t="shared" si="79"/>
        <v>51026.36</v>
      </c>
      <c r="T115" s="89">
        <f t="shared" si="59"/>
        <v>2945.9000000000015</v>
      </c>
      <c r="U115" s="90">
        <f t="shared" si="79"/>
        <v>48020.479999999996</v>
      </c>
      <c r="V115" s="91">
        <f t="shared" si="79"/>
        <v>49706.71000000001</v>
      </c>
      <c r="W115" s="93">
        <f t="shared" si="60"/>
        <v>1686.2300000000105</v>
      </c>
      <c r="X115" s="90">
        <f t="shared" si="79"/>
        <v>76871.01</v>
      </c>
      <c r="Y115" s="91">
        <f t="shared" si="79"/>
        <v>75739.73000000001</v>
      </c>
      <c r="Z115" s="89">
        <f t="shared" si="61"/>
        <v>-1131.2799999999843</v>
      </c>
      <c r="AB115" s="196">
        <f t="shared" si="52"/>
        <v>0</v>
      </c>
    </row>
    <row r="116" spans="1:28" s="45" customFormat="1" ht="13.5" outlineLevel="1">
      <c r="A116" s="46"/>
      <c r="B116" s="40" t="s">
        <v>61</v>
      </c>
      <c r="C116" s="52">
        <v>30000</v>
      </c>
      <c r="D116" s="61">
        <v>29969</v>
      </c>
      <c r="E116" s="41">
        <f t="shared" si="53"/>
        <v>-31</v>
      </c>
      <c r="F116" s="43">
        <f aca="true" t="shared" si="80" ref="F116:G118">+C116-I116-L116-O116-R116-U116-X116</f>
        <v>9566.189999999997</v>
      </c>
      <c r="G116" s="19">
        <f t="shared" si="80"/>
        <v>11518.980000000003</v>
      </c>
      <c r="H116" s="40">
        <f t="shared" si="55"/>
        <v>1952.7900000000063</v>
      </c>
      <c r="I116" s="43">
        <f>+ROUND(C116/$C$8*$I$8,2)</f>
        <v>3106.15</v>
      </c>
      <c r="J116" s="19">
        <f>+ROUND($D$116/$C$7*I7,2)</f>
        <v>3871.94</v>
      </c>
      <c r="K116" s="40">
        <f>+J116-I116</f>
        <v>765.79</v>
      </c>
      <c r="L116" s="42">
        <f>+ROUND(C116/$C$8*$L$8,2)</f>
        <v>6858.31</v>
      </c>
      <c r="M116" s="19">
        <f>+ROUND($D$116/$C$7*L7,2)</f>
        <v>5434.5</v>
      </c>
      <c r="N116" s="40">
        <f t="shared" si="57"/>
        <v>-1423.8100000000004</v>
      </c>
      <c r="O116" s="42">
        <f>+ROUND(C116/$C$8*$O$8,2)</f>
        <v>3226.72</v>
      </c>
      <c r="P116" s="19">
        <f>+ROUND($D$116/$C$7*O7,2)</f>
        <v>2668.83</v>
      </c>
      <c r="Q116" s="40">
        <f t="shared" si="58"/>
        <v>-557.8899999999999</v>
      </c>
      <c r="R116" s="42">
        <f>+ROUND(C116/$C$8*$R$8,2)</f>
        <v>2013.21</v>
      </c>
      <c r="S116" s="19">
        <f>+ROUND($D$116/$C$7*R7,2)</f>
        <v>1872.15</v>
      </c>
      <c r="T116" s="40">
        <f t="shared" si="59"/>
        <v>-141.05999999999995</v>
      </c>
      <c r="U116" s="42">
        <f>+ROUND(C116/$C$8*$U$8,2)</f>
        <v>2010.7</v>
      </c>
      <c r="V116" s="19">
        <f>+ROUND($D$116/$C$7*U7,2)</f>
        <v>1823.73</v>
      </c>
      <c r="W116" s="44">
        <f t="shared" si="60"/>
        <v>-186.97000000000003</v>
      </c>
      <c r="X116" s="42">
        <f>+ROUND(C116/$C$8*$X$8,2)</f>
        <v>3218.72</v>
      </c>
      <c r="Y116" s="19">
        <f>+ROUND($D$116/$C$7*X7,2)</f>
        <v>2778.87</v>
      </c>
      <c r="Z116" s="40">
        <f t="shared" si="61"/>
        <v>-439.8499999999999</v>
      </c>
      <c r="AB116" s="45">
        <f t="shared" si="52"/>
        <v>0</v>
      </c>
    </row>
    <row r="117" spans="1:28" s="45" customFormat="1" ht="13.5" outlineLevel="1">
      <c r="A117" s="46"/>
      <c r="B117" s="40" t="s">
        <v>62</v>
      </c>
      <c r="C117" s="52">
        <v>571110.96</v>
      </c>
      <c r="D117" s="61">
        <f>+G117+J117+M117+P117+S117+V117+Y117</f>
        <v>559390.54</v>
      </c>
      <c r="E117" s="41">
        <f t="shared" si="53"/>
        <v>-11720.419999999925</v>
      </c>
      <c r="F117" s="43">
        <f t="shared" si="80"/>
        <v>182111.88999999998</v>
      </c>
      <c r="G117" s="19">
        <v>199102</v>
      </c>
      <c r="H117" s="40">
        <f t="shared" si="55"/>
        <v>16990.110000000015</v>
      </c>
      <c r="I117" s="43">
        <f>+ROUND(C117/$C$8*$I$8,2)</f>
        <v>59131.97</v>
      </c>
      <c r="J117" s="19">
        <f>+ROUND(117092.54/($I$7+$O$7)*I7,2)</f>
        <v>69315.21</v>
      </c>
      <c r="K117" s="40">
        <f>+J117-I117</f>
        <v>10183.240000000005</v>
      </c>
      <c r="L117" s="42">
        <f>+ROUND(C117/$C$8*$L$8,2)</f>
        <v>130561.93</v>
      </c>
      <c r="M117" s="19">
        <v>101530.96</v>
      </c>
      <c r="N117" s="40">
        <f t="shared" si="57"/>
        <v>-29030.969999999987</v>
      </c>
      <c r="O117" s="42">
        <f>+ROUND(C117/$C$8*$O$8,2)</f>
        <v>61427.2</v>
      </c>
      <c r="P117" s="19">
        <f>+ROUND(117092.54/($I$7+$O$7)*O7,2)</f>
        <v>47777.33</v>
      </c>
      <c r="Q117" s="40">
        <f t="shared" si="58"/>
        <v>-13649.869999999995</v>
      </c>
      <c r="R117" s="42">
        <f>+ROUND(C117/$C$8*$R$8,2)</f>
        <v>38325.5</v>
      </c>
      <c r="S117" s="19">
        <f>ROUND((141665.04/($R$7+$U$7+$X$7)*R7),2)</f>
        <v>40961.84</v>
      </c>
      <c r="T117" s="40">
        <f t="shared" si="59"/>
        <v>2636.3399999999965</v>
      </c>
      <c r="U117" s="42">
        <f>+ROUND(C117/$C$8*$U$8,2)</f>
        <v>38277.69</v>
      </c>
      <c r="V117" s="19">
        <f>ROUND((141665.04/($R$7+$U$7+$X$7)*U7),2)</f>
        <v>39902.48</v>
      </c>
      <c r="W117" s="44">
        <f t="shared" si="60"/>
        <v>1624.7900000000009</v>
      </c>
      <c r="X117" s="42">
        <f>+ROUND(C117/$C$8*$X$8,2)</f>
        <v>61274.78</v>
      </c>
      <c r="Y117" s="19">
        <f>ROUND((141665.04/($R$7+$U$7+$X$7)*X7),2)</f>
        <v>60800.72</v>
      </c>
      <c r="Z117" s="40">
        <f t="shared" si="61"/>
        <v>-474.0599999999977</v>
      </c>
      <c r="AB117" s="45">
        <f t="shared" si="52"/>
        <v>0</v>
      </c>
    </row>
    <row r="118" spans="1:28" s="45" customFormat="1" ht="14.25" outlineLevel="1" thickBot="1">
      <c r="A118" s="46"/>
      <c r="B118" s="40" t="s">
        <v>57</v>
      </c>
      <c r="C118" s="52">
        <v>115364.41</v>
      </c>
      <c r="D118" s="118">
        <f>+G118+J118+M118+P118+S118+V118+Y118</f>
        <v>111878.11</v>
      </c>
      <c r="E118" s="41">
        <f t="shared" si="53"/>
        <v>-3486.300000000003</v>
      </c>
      <c r="F118" s="43">
        <f t="shared" si="80"/>
        <v>36786.6</v>
      </c>
      <c r="G118" s="19">
        <f>ROUND(G117*0.2,2)</f>
        <v>39820.4</v>
      </c>
      <c r="H118" s="40">
        <f t="shared" si="55"/>
        <v>3033.800000000003</v>
      </c>
      <c r="I118" s="43">
        <f>+ROUND(C118/$C$8*$I$8,2)</f>
        <v>11944.66</v>
      </c>
      <c r="J118" s="19">
        <f>ROUND(J117*0.2,2)</f>
        <v>13863.04</v>
      </c>
      <c r="K118" s="40">
        <f>+J118-I118</f>
        <v>1918.380000000001</v>
      </c>
      <c r="L118" s="42">
        <f>+ROUND(C118/$C$8*$L$8,2)</f>
        <v>26373.51</v>
      </c>
      <c r="M118" s="19">
        <f>ROUND(M117*0.2,2)</f>
        <v>20306.19</v>
      </c>
      <c r="N118" s="40">
        <f t="shared" si="57"/>
        <v>-6067.32</v>
      </c>
      <c r="O118" s="42">
        <f>+ROUND(C118/$C$8*$O$8,2)</f>
        <v>12408.29</v>
      </c>
      <c r="P118" s="19">
        <f>ROUND(P117*0.2,2)</f>
        <v>9555.47</v>
      </c>
      <c r="Q118" s="40">
        <f t="shared" si="58"/>
        <v>-2852.8200000000015</v>
      </c>
      <c r="R118" s="42">
        <f>+ROUND(C118/$C$8*$R$8,2)</f>
        <v>7741.75</v>
      </c>
      <c r="S118" s="19">
        <f>ROUND(S117*0.2,2)</f>
        <v>8192.37</v>
      </c>
      <c r="T118" s="40">
        <f t="shared" si="59"/>
        <v>450.6200000000008</v>
      </c>
      <c r="U118" s="42">
        <f>+ROUND(C118/$C$8*$U$8,2)</f>
        <v>7732.09</v>
      </c>
      <c r="V118" s="19">
        <f>ROUND(V117*0.2,2)</f>
        <v>7980.5</v>
      </c>
      <c r="W118" s="44">
        <f t="shared" si="60"/>
        <v>248.40999999999985</v>
      </c>
      <c r="X118" s="42">
        <f>+ROUND(C118/$C$8*$X$8,2)</f>
        <v>12377.51</v>
      </c>
      <c r="Y118" s="19">
        <f>ROUND(Y117*0.2,2)</f>
        <v>12160.14</v>
      </c>
      <c r="Z118" s="40">
        <f t="shared" si="61"/>
        <v>-217.3700000000008</v>
      </c>
      <c r="AB118" s="45">
        <f t="shared" si="52"/>
        <v>0</v>
      </c>
    </row>
    <row r="119" spans="1:28" s="196" customFormat="1" ht="15.75" outlineLevel="1">
      <c r="A119" s="86">
        <v>4</v>
      </c>
      <c r="B119" s="89" t="s">
        <v>37</v>
      </c>
      <c r="C119" s="66">
        <f>SUM(C120:C144)-C121+C121</f>
        <v>2757468.08</v>
      </c>
      <c r="D119" s="88">
        <f>SUM(D120:D144)-D121</f>
        <v>2588144</v>
      </c>
      <c r="E119" s="89">
        <f t="shared" si="53"/>
        <v>-169324.08000000007</v>
      </c>
      <c r="F119" s="92">
        <f>SUM(F120:F144)-F121+F121</f>
        <v>879282.2100000001</v>
      </c>
      <c r="G119" s="91">
        <f>SUM(G120:G144)-G121</f>
        <v>825289.3400000001</v>
      </c>
      <c r="H119" s="89">
        <f t="shared" si="55"/>
        <v>-53992.869999999995</v>
      </c>
      <c r="I119" s="92">
        <f>SUM(I120:I144)-I121+I121</f>
        <v>285504.12</v>
      </c>
      <c r="J119" s="91">
        <f>SUM(J120:J144)-J121</f>
        <v>267972.56</v>
      </c>
      <c r="K119" s="89">
        <f>+J119-I119</f>
        <v>-17531.559999999998</v>
      </c>
      <c r="L119" s="90">
        <f>SUM(L120:L144)-L121+L121</f>
        <v>630386.01</v>
      </c>
      <c r="M119" s="91">
        <f>SUM(M120:M144)-M121</f>
        <v>591676.76</v>
      </c>
      <c r="N119" s="89">
        <f t="shared" si="57"/>
        <v>-38709.25</v>
      </c>
      <c r="O119" s="90">
        <f>SUM(O120:O144)-O121+O121</f>
        <v>296586.04</v>
      </c>
      <c r="P119" s="91">
        <f>SUM(P120:P144)-P121</f>
        <v>278373.99</v>
      </c>
      <c r="Q119" s="89">
        <f t="shared" si="58"/>
        <v>-18212.04999999999</v>
      </c>
      <c r="R119" s="90">
        <f>SUM(R120:R144)-R121+R121</f>
        <v>185045.21000000002</v>
      </c>
      <c r="S119" s="91">
        <f>SUM(S120:S144)-S121</f>
        <v>173682.40999999997</v>
      </c>
      <c r="T119" s="89">
        <f t="shared" si="59"/>
        <v>-11362.800000000047</v>
      </c>
      <c r="U119" s="90">
        <f>SUM(U120:U144)-U121+U121</f>
        <v>184814.34</v>
      </c>
      <c r="V119" s="91">
        <f>SUM(V120:V144)-V121</f>
        <v>173465.68</v>
      </c>
      <c r="W119" s="93">
        <f t="shared" si="60"/>
        <v>-11348.660000000003</v>
      </c>
      <c r="X119" s="90">
        <f>SUM(X120:X144)-X121+X121</f>
        <v>295850.14999999997</v>
      </c>
      <c r="Y119" s="91">
        <f>SUM(Y120:Y144)-Y121</f>
        <v>277683.25999999995</v>
      </c>
      <c r="Z119" s="89">
        <f t="shared" si="61"/>
        <v>-18166.890000000014</v>
      </c>
      <c r="AB119" s="196">
        <f t="shared" si="52"/>
        <v>0</v>
      </c>
    </row>
    <row r="120" spans="1:28" s="45" customFormat="1" ht="13.5" hidden="1" outlineLevel="2">
      <c r="A120" s="46"/>
      <c r="B120" s="94" t="s">
        <v>29</v>
      </c>
      <c r="C120" s="52"/>
      <c r="D120" s="61"/>
      <c r="E120" s="41">
        <f t="shared" si="53"/>
        <v>0</v>
      </c>
      <c r="F120" s="43">
        <f aca="true" t="shared" si="81" ref="F120:G144">+C120-I120-L120-O120-R120-U120-X120</f>
        <v>0</v>
      </c>
      <c r="G120" s="19">
        <f t="shared" si="81"/>
        <v>0</v>
      </c>
      <c r="H120" s="40">
        <f t="shared" si="55"/>
        <v>0</v>
      </c>
      <c r="I120" s="43">
        <f aca="true" t="shared" si="82" ref="I120:J144">+ROUND(C120/$C$8*$I$8,2)</f>
        <v>0</v>
      </c>
      <c r="J120" s="19">
        <f t="shared" si="82"/>
        <v>0</v>
      </c>
      <c r="K120" s="40">
        <f aca="true" t="shared" si="83" ref="K120:K149">+J120-I120</f>
        <v>0</v>
      </c>
      <c r="L120" s="42">
        <f aca="true" t="shared" si="84" ref="L120:M144">+ROUND(C120/$C$8*$L$8,2)</f>
        <v>0</v>
      </c>
      <c r="M120" s="19">
        <f t="shared" si="84"/>
        <v>0</v>
      </c>
      <c r="N120" s="40">
        <f t="shared" si="57"/>
        <v>0</v>
      </c>
      <c r="O120" s="42">
        <f aca="true" t="shared" si="85" ref="O120:P144">+ROUND(C120/$C$8*$O$8,2)</f>
        <v>0</v>
      </c>
      <c r="P120" s="19">
        <f t="shared" si="85"/>
        <v>0</v>
      </c>
      <c r="Q120" s="40">
        <f t="shared" si="58"/>
        <v>0</v>
      </c>
      <c r="R120" s="42">
        <f aca="true" t="shared" si="86" ref="R120:S144">+ROUND(C120/$C$8*$R$8,2)</f>
        <v>0</v>
      </c>
      <c r="S120" s="19">
        <f t="shared" si="86"/>
        <v>0</v>
      </c>
      <c r="T120" s="40">
        <f t="shared" si="59"/>
        <v>0</v>
      </c>
      <c r="U120" s="42">
        <f aca="true" t="shared" si="87" ref="U120:V144">+ROUND(C120/$C$8*$U$8,2)</f>
        <v>0</v>
      </c>
      <c r="V120" s="19">
        <f t="shared" si="87"/>
        <v>0</v>
      </c>
      <c r="W120" s="44">
        <f t="shared" si="60"/>
        <v>0</v>
      </c>
      <c r="X120" s="42">
        <f aca="true" t="shared" si="88" ref="X120:Y144">+ROUND(C120/$C$8*$X$8,2)</f>
        <v>0</v>
      </c>
      <c r="Y120" s="19">
        <f t="shared" si="88"/>
        <v>0</v>
      </c>
      <c r="Z120" s="40">
        <f t="shared" si="61"/>
        <v>0</v>
      </c>
      <c r="AB120" s="45">
        <f t="shared" si="52"/>
        <v>0</v>
      </c>
    </row>
    <row r="121" spans="1:28" s="45" customFormat="1" ht="13.5" outlineLevel="1" collapsed="1">
      <c r="A121" s="46"/>
      <c r="B121" s="40" t="s">
        <v>42</v>
      </c>
      <c r="C121" s="61">
        <v>25800</v>
      </c>
      <c r="D121" s="118">
        <f>SUM(D122:D126)</f>
        <v>25818</v>
      </c>
      <c r="E121" s="41">
        <f t="shared" si="53"/>
        <v>18</v>
      </c>
      <c r="F121" s="43">
        <f t="shared" si="81"/>
        <v>8226.929999999997</v>
      </c>
      <c r="G121" s="19">
        <f t="shared" si="81"/>
        <v>8232.650000000001</v>
      </c>
      <c r="H121" s="40">
        <f t="shared" si="55"/>
        <v>5.720000000004802</v>
      </c>
      <c r="I121" s="43">
        <f t="shared" si="82"/>
        <v>2671.29</v>
      </c>
      <c r="J121" s="19">
        <f t="shared" si="82"/>
        <v>2673.16</v>
      </c>
      <c r="K121" s="40">
        <f t="shared" si="83"/>
        <v>1.8699999999998909</v>
      </c>
      <c r="L121" s="42">
        <f t="shared" si="84"/>
        <v>5898.15</v>
      </c>
      <c r="M121" s="19">
        <f t="shared" si="84"/>
        <v>5902.26</v>
      </c>
      <c r="N121" s="40">
        <f t="shared" si="57"/>
        <v>4.110000000000582</v>
      </c>
      <c r="O121" s="42">
        <f t="shared" si="85"/>
        <v>2774.98</v>
      </c>
      <c r="P121" s="19">
        <f t="shared" si="85"/>
        <v>2776.92</v>
      </c>
      <c r="Q121" s="40">
        <f t="shared" si="58"/>
        <v>1.9400000000000546</v>
      </c>
      <c r="R121" s="42">
        <f t="shared" si="86"/>
        <v>1731.36</v>
      </c>
      <c r="S121" s="19">
        <f t="shared" si="86"/>
        <v>1732.57</v>
      </c>
      <c r="T121" s="40">
        <f t="shared" si="59"/>
        <v>1.2100000000000364</v>
      </c>
      <c r="U121" s="42">
        <f t="shared" si="87"/>
        <v>1729.2</v>
      </c>
      <c r="V121" s="19">
        <f t="shared" si="87"/>
        <v>1730.41</v>
      </c>
      <c r="W121" s="44">
        <f t="shared" si="60"/>
        <v>1.2100000000000364</v>
      </c>
      <c r="X121" s="42">
        <f t="shared" si="88"/>
        <v>2768.09</v>
      </c>
      <c r="Y121" s="19">
        <f t="shared" si="88"/>
        <v>2770.03</v>
      </c>
      <c r="Z121" s="40">
        <f t="shared" si="61"/>
        <v>1.9400000000000546</v>
      </c>
      <c r="AB121" s="45">
        <f t="shared" si="52"/>
        <v>3.637978807091713E-12</v>
      </c>
    </row>
    <row r="122" spans="1:28" s="45" customFormat="1" ht="13.5" outlineLevel="1">
      <c r="A122" s="46"/>
      <c r="B122" s="96" t="s">
        <v>43</v>
      </c>
      <c r="C122" s="52"/>
      <c r="D122" s="118">
        <v>9254</v>
      </c>
      <c r="E122" s="41">
        <f t="shared" si="53"/>
        <v>9254</v>
      </c>
      <c r="F122" s="43">
        <f t="shared" si="81"/>
        <v>0</v>
      </c>
      <c r="G122" s="19">
        <f t="shared" si="81"/>
        <v>2950.8400000000006</v>
      </c>
      <c r="H122" s="40">
        <f t="shared" si="55"/>
        <v>2950.8400000000006</v>
      </c>
      <c r="I122" s="43">
        <f t="shared" si="82"/>
        <v>0</v>
      </c>
      <c r="J122" s="19">
        <f t="shared" si="82"/>
        <v>958.15</v>
      </c>
      <c r="K122" s="40">
        <f t="shared" si="83"/>
        <v>958.15</v>
      </c>
      <c r="L122" s="42">
        <f t="shared" si="84"/>
        <v>0</v>
      </c>
      <c r="M122" s="19">
        <f t="shared" si="84"/>
        <v>2115.56</v>
      </c>
      <c r="N122" s="40">
        <f t="shared" si="57"/>
        <v>2115.56</v>
      </c>
      <c r="O122" s="42">
        <f t="shared" si="85"/>
        <v>0</v>
      </c>
      <c r="P122" s="19">
        <f t="shared" si="85"/>
        <v>995.34</v>
      </c>
      <c r="Q122" s="40">
        <f t="shared" si="58"/>
        <v>995.34</v>
      </c>
      <c r="R122" s="42">
        <f t="shared" si="86"/>
        <v>0</v>
      </c>
      <c r="S122" s="19">
        <f t="shared" si="86"/>
        <v>621.01</v>
      </c>
      <c r="T122" s="40">
        <f t="shared" si="59"/>
        <v>621.01</v>
      </c>
      <c r="U122" s="42">
        <f t="shared" si="87"/>
        <v>0</v>
      </c>
      <c r="V122" s="19">
        <f t="shared" si="87"/>
        <v>620.23</v>
      </c>
      <c r="W122" s="44">
        <f t="shared" si="60"/>
        <v>620.23</v>
      </c>
      <c r="X122" s="42">
        <f t="shared" si="88"/>
        <v>0</v>
      </c>
      <c r="Y122" s="19">
        <f t="shared" si="88"/>
        <v>992.87</v>
      </c>
      <c r="Z122" s="40">
        <f t="shared" si="61"/>
        <v>992.87</v>
      </c>
      <c r="AB122" s="45">
        <f t="shared" si="52"/>
        <v>0</v>
      </c>
    </row>
    <row r="123" spans="1:28" s="45" customFormat="1" ht="13.5" outlineLevel="1">
      <c r="A123" s="46"/>
      <c r="B123" s="96" t="s">
        <v>44</v>
      </c>
      <c r="C123" s="52"/>
      <c r="D123" s="118">
        <f>3970+40+10</f>
        <v>4020</v>
      </c>
      <c r="E123" s="41">
        <f t="shared" si="53"/>
        <v>4020</v>
      </c>
      <c r="F123" s="43">
        <f t="shared" si="81"/>
        <v>0</v>
      </c>
      <c r="G123" s="19">
        <f t="shared" si="81"/>
        <v>1281.8799999999994</v>
      </c>
      <c r="H123" s="40">
        <f t="shared" si="55"/>
        <v>1281.8799999999994</v>
      </c>
      <c r="I123" s="43">
        <f t="shared" si="82"/>
        <v>0</v>
      </c>
      <c r="J123" s="19">
        <f t="shared" si="82"/>
        <v>416.22</v>
      </c>
      <c r="K123" s="40">
        <f t="shared" si="83"/>
        <v>416.22</v>
      </c>
      <c r="L123" s="42">
        <f t="shared" si="84"/>
        <v>0</v>
      </c>
      <c r="M123" s="19">
        <f t="shared" si="84"/>
        <v>919.01</v>
      </c>
      <c r="N123" s="40">
        <f t="shared" si="57"/>
        <v>919.01</v>
      </c>
      <c r="O123" s="42">
        <f t="shared" si="85"/>
        <v>0</v>
      </c>
      <c r="P123" s="19">
        <f t="shared" si="85"/>
        <v>432.38</v>
      </c>
      <c r="Q123" s="40">
        <f t="shared" si="58"/>
        <v>432.38</v>
      </c>
      <c r="R123" s="42">
        <f t="shared" si="86"/>
        <v>0</v>
      </c>
      <c r="S123" s="19">
        <f t="shared" si="86"/>
        <v>269.77</v>
      </c>
      <c r="T123" s="40">
        <f t="shared" si="59"/>
        <v>269.77</v>
      </c>
      <c r="U123" s="42">
        <f t="shared" si="87"/>
        <v>0</v>
      </c>
      <c r="V123" s="19">
        <f t="shared" si="87"/>
        <v>269.43</v>
      </c>
      <c r="W123" s="44">
        <f t="shared" si="60"/>
        <v>269.43</v>
      </c>
      <c r="X123" s="42">
        <f t="shared" si="88"/>
        <v>0</v>
      </c>
      <c r="Y123" s="19">
        <f t="shared" si="88"/>
        <v>431.31</v>
      </c>
      <c r="Z123" s="40">
        <f t="shared" si="61"/>
        <v>431.31</v>
      </c>
      <c r="AB123" s="45">
        <f t="shared" si="52"/>
        <v>0</v>
      </c>
    </row>
    <row r="124" spans="1:28" s="45" customFormat="1" ht="13.5" outlineLevel="1">
      <c r="A124" s="46"/>
      <c r="B124" s="96" t="s">
        <v>113</v>
      </c>
      <c r="C124" s="52"/>
      <c r="D124" s="118">
        <v>744</v>
      </c>
      <c r="E124" s="41">
        <f t="shared" si="53"/>
        <v>744</v>
      </c>
      <c r="F124" s="43">
        <f t="shared" si="81"/>
        <v>0</v>
      </c>
      <c r="G124" s="19">
        <f t="shared" si="81"/>
        <v>237.24</v>
      </c>
      <c r="H124" s="40">
        <f t="shared" si="55"/>
        <v>237.24</v>
      </c>
      <c r="I124" s="43">
        <f t="shared" si="82"/>
        <v>0</v>
      </c>
      <c r="J124" s="19">
        <f t="shared" si="82"/>
        <v>77.03</v>
      </c>
      <c r="K124" s="40">
        <f t="shared" si="83"/>
        <v>77.03</v>
      </c>
      <c r="L124" s="42">
        <f t="shared" si="84"/>
        <v>0</v>
      </c>
      <c r="M124" s="19">
        <f t="shared" si="84"/>
        <v>170.09</v>
      </c>
      <c r="N124" s="40">
        <f t="shared" si="57"/>
        <v>170.09</v>
      </c>
      <c r="O124" s="42">
        <f t="shared" si="85"/>
        <v>0</v>
      </c>
      <c r="P124" s="19">
        <f t="shared" si="85"/>
        <v>80.02</v>
      </c>
      <c r="Q124" s="40">
        <f t="shared" si="58"/>
        <v>80.02</v>
      </c>
      <c r="R124" s="42">
        <f t="shared" si="86"/>
        <v>0</v>
      </c>
      <c r="S124" s="19">
        <f t="shared" si="86"/>
        <v>49.93</v>
      </c>
      <c r="T124" s="40">
        <f t="shared" si="59"/>
        <v>49.93</v>
      </c>
      <c r="U124" s="42">
        <f t="shared" si="87"/>
        <v>0</v>
      </c>
      <c r="V124" s="19">
        <f t="shared" si="87"/>
        <v>49.87</v>
      </c>
      <c r="W124" s="44">
        <f t="shared" si="60"/>
        <v>49.87</v>
      </c>
      <c r="X124" s="42">
        <f t="shared" si="88"/>
        <v>0</v>
      </c>
      <c r="Y124" s="19">
        <f t="shared" si="88"/>
        <v>79.82</v>
      </c>
      <c r="Z124" s="40">
        <f t="shared" si="61"/>
        <v>79.82</v>
      </c>
      <c r="AB124" s="45">
        <f t="shared" si="52"/>
        <v>0</v>
      </c>
    </row>
    <row r="125" spans="1:28" s="45" customFormat="1" ht="13.5" outlineLevel="1">
      <c r="A125" s="46"/>
      <c r="B125" s="96" t="s">
        <v>45</v>
      </c>
      <c r="C125" s="52"/>
      <c r="D125" s="118">
        <v>3300</v>
      </c>
      <c r="E125" s="41">
        <f t="shared" si="53"/>
        <v>3300</v>
      </c>
      <c r="F125" s="43">
        <f t="shared" si="81"/>
        <v>0</v>
      </c>
      <c r="G125" s="19">
        <f t="shared" si="81"/>
        <v>1052.2800000000002</v>
      </c>
      <c r="H125" s="40">
        <f t="shared" si="55"/>
        <v>1052.2800000000002</v>
      </c>
      <c r="I125" s="43">
        <f t="shared" si="82"/>
        <v>0</v>
      </c>
      <c r="J125" s="19">
        <f t="shared" si="82"/>
        <v>341.68</v>
      </c>
      <c r="K125" s="40">
        <f t="shared" si="83"/>
        <v>341.68</v>
      </c>
      <c r="L125" s="42">
        <f t="shared" si="84"/>
        <v>0</v>
      </c>
      <c r="M125" s="19">
        <f t="shared" si="84"/>
        <v>754.41</v>
      </c>
      <c r="N125" s="40">
        <f t="shared" si="57"/>
        <v>754.41</v>
      </c>
      <c r="O125" s="42">
        <f t="shared" si="85"/>
        <v>0</v>
      </c>
      <c r="P125" s="19">
        <f t="shared" si="85"/>
        <v>354.94</v>
      </c>
      <c r="Q125" s="40">
        <f t="shared" si="58"/>
        <v>354.94</v>
      </c>
      <c r="R125" s="42">
        <f t="shared" si="86"/>
        <v>0</v>
      </c>
      <c r="S125" s="19">
        <f t="shared" si="86"/>
        <v>221.45</v>
      </c>
      <c r="T125" s="40">
        <f t="shared" si="59"/>
        <v>221.45</v>
      </c>
      <c r="U125" s="42">
        <f t="shared" si="87"/>
        <v>0</v>
      </c>
      <c r="V125" s="19">
        <f t="shared" si="87"/>
        <v>221.18</v>
      </c>
      <c r="W125" s="44">
        <f t="shared" si="60"/>
        <v>221.18</v>
      </c>
      <c r="X125" s="42">
        <f t="shared" si="88"/>
        <v>0</v>
      </c>
      <c r="Y125" s="19">
        <f t="shared" si="88"/>
        <v>354.06</v>
      </c>
      <c r="Z125" s="40">
        <f t="shared" si="61"/>
        <v>354.06</v>
      </c>
      <c r="AB125" s="45">
        <f t="shared" si="52"/>
        <v>0</v>
      </c>
    </row>
    <row r="126" spans="1:28" s="45" customFormat="1" ht="13.5" outlineLevel="1">
      <c r="A126" s="46"/>
      <c r="B126" s="96" t="s">
        <v>46</v>
      </c>
      <c r="C126" s="52"/>
      <c r="D126" s="118">
        <f>5700+400+300+500+1000+600</f>
        <v>8500</v>
      </c>
      <c r="E126" s="41">
        <f t="shared" si="53"/>
        <v>8500</v>
      </c>
      <c r="F126" s="43">
        <f t="shared" si="81"/>
        <v>0</v>
      </c>
      <c r="G126" s="19">
        <f t="shared" si="81"/>
        <v>2710.41</v>
      </c>
      <c r="H126" s="40">
        <f t="shared" si="55"/>
        <v>2710.41</v>
      </c>
      <c r="I126" s="43">
        <f t="shared" si="82"/>
        <v>0</v>
      </c>
      <c r="J126" s="19">
        <f t="shared" si="82"/>
        <v>880.08</v>
      </c>
      <c r="K126" s="40">
        <f t="shared" si="83"/>
        <v>880.08</v>
      </c>
      <c r="L126" s="42">
        <f t="shared" si="84"/>
        <v>0</v>
      </c>
      <c r="M126" s="19">
        <f t="shared" si="84"/>
        <v>1943.19</v>
      </c>
      <c r="N126" s="40">
        <f t="shared" si="57"/>
        <v>1943.19</v>
      </c>
      <c r="O126" s="42">
        <f t="shared" si="85"/>
        <v>0</v>
      </c>
      <c r="P126" s="19">
        <f t="shared" si="85"/>
        <v>914.24</v>
      </c>
      <c r="Q126" s="40">
        <f t="shared" si="58"/>
        <v>914.24</v>
      </c>
      <c r="R126" s="42">
        <f t="shared" si="86"/>
        <v>0</v>
      </c>
      <c r="S126" s="19">
        <f t="shared" si="86"/>
        <v>570.41</v>
      </c>
      <c r="T126" s="40">
        <f t="shared" si="59"/>
        <v>570.41</v>
      </c>
      <c r="U126" s="42">
        <f t="shared" si="87"/>
        <v>0</v>
      </c>
      <c r="V126" s="19">
        <f t="shared" si="87"/>
        <v>569.7</v>
      </c>
      <c r="W126" s="44">
        <f t="shared" si="60"/>
        <v>569.7</v>
      </c>
      <c r="X126" s="42">
        <f t="shared" si="88"/>
        <v>0</v>
      </c>
      <c r="Y126" s="19">
        <f t="shared" si="88"/>
        <v>911.97</v>
      </c>
      <c r="Z126" s="40">
        <f t="shared" si="61"/>
        <v>911.97</v>
      </c>
      <c r="AB126" s="45">
        <f t="shared" si="52"/>
        <v>0</v>
      </c>
    </row>
    <row r="127" spans="1:28" s="45" customFormat="1" ht="13.5" outlineLevel="1">
      <c r="A127" s="39"/>
      <c r="B127" s="40" t="s">
        <v>49</v>
      </c>
      <c r="C127" s="52">
        <v>16148</v>
      </c>
      <c r="D127" s="118">
        <v>17458</v>
      </c>
      <c r="E127" s="41">
        <f t="shared" si="53"/>
        <v>1310</v>
      </c>
      <c r="F127" s="43">
        <f t="shared" si="81"/>
        <v>5149.159999999999</v>
      </c>
      <c r="G127" s="19">
        <f t="shared" si="81"/>
        <v>5566.880000000001</v>
      </c>
      <c r="H127" s="40">
        <f t="shared" si="55"/>
        <v>417.7200000000021</v>
      </c>
      <c r="I127" s="43">
        <f t="shared" si="82"/>
        <v>1671.94</v>
      </c>
      <c r="J127" s="19">
        <f t="shared" si="82"/>
        <v>1807.58</v>
      </c>
      <c r="K127" s="40">
        <f t="shared" si="83"/>
        <v>135.63999999999987</v>
      </c>
      <c r="L127" s="42">
        <f t="shared" si="84"/>
        <v>3691.6</v>
      </c>
      <c r="M127" s="19">
        <f t="shared" si="84"/>
        <v>3991.08</v>
      </c>
      <c r="N127" s="40">
        <f t="shared" si="57"/>
        <v>299.48</v>
      </c>
      <c r="O127" s="42">
        <f t="shared" si="85"/>
        <v>1736.84</v>
      </c>
      <c r="P127" s="19">
        <f t="shared" si="85"/>
        <v>1877.74</v>
      </c>
      <c r="Q127" s="40">
        <f t="shared" si="58"/>
        <v>140.9000000000001</v>
      </c>
      <c r="R127" s="42">
        <f t="shared" si="86"/>
        <v>1083.64</v>
      </c>
      <c r="S127" s="19">
        <f t="shared" si="86"/>
        <v>1171.55</v>
      </c>
      <c r="T127" s="40">
        <f t="shared" si="59"/>
        <v>87.90999999999985</v>
      </c>
      <c r="U127" s="42">
        <f t="shared" si="87"/>
        <v>1082.29</v>
      </c>
      <c r="V127" s="19">
        <f t="shared" si="87"/>
        <v>1170.09</v>
      </c>
      <c r="W127" s="44">
        <f t="shared" si="60"/>
        <v>87.79999999999995</v>
      </c>
      <c r="X127" s="42">
        <f t="shared" si="88"/>
        <v>1732.53</v>
      </c>
      <c r="Y127" s="19">
        <f t="shared" si="88"/>
        <v>1873.08</v>
      </c>
      <c r="Z127" s="40">
        <f t="shared" si="61"/>
        <v>140.54999999999995</v>
      </c>
      <c r="AB127" s="45">
        <f t="shared" si="52"/>
        <v>0</v>
      </c>
    </row>
    <row r="128" spans="1:28" s="45" customFormat="1" ht="13.5" outlineLevel="1">
      <c r="A128" s="39"/>
      <c r="B128" s="40" t="s">
        <v>80</v>
      </c>
      <c r="C128" s="52">
        <v>400</v>
      </c>
      <c r="D128" s="61">
        <v>215.22</v>
      </c>
      <c r="E128" s="41">
        <f t="shared" si="53"/>
        <v>-184.78</v>
      </c>
      <c r="F128" s="43">
        <f t="shared" si="81"/>
        <v>127.54999999999997</v>
      </c>
      <c r="G128" s="19">
        <f t="shared" si="81"/>
        <v>68.64</v>
      </c>
      <c r="H128" s="40">
        <f t="shared" si="55"/>
        <v>-58.90999999999997</v>
      </c>
      <c r="I128" s="43">
        <f t="shared" si="82"/>
        <v>41.42</v>
      </c>
      <c r="J128" s="19">
        <f t="shared" si="82"/>
        <v>22.28</v>
      </c>
      <c r="K128" s="40">
        <f t="shared" si="83"/>
        <v>-19.14</v>
      </c>
      <c r="L128" s="42">
        <f t="shared" si="84"/>
        <v>91.44</v>
      </c>
      <c r="M128" s="19">
        <f t="shared" si="84"/>
        <v>49.2</v>
      </c>
      <c r="N128" s="40">
        <f t="shared" si="57"/>
        <v>-42.239999999999995</v>
      </c>
      <c r="O128" s="42">
        <f t="shared" si="85"/>
        <v>43.02</v>
      </c>
      <c r="P128" s="19">
        <f t="shared" si="85"/>
        <v>23.15</v>
      </c>
      <c r="Q128" s="40">
        <f t="shared" si="58"/>
        <v>-19.870000000000005</v>
      </c>
      <c r="R128" s="42">
        <f t="shared" si="86"/>
        <v>26.84</v>
      </c>
      <c r="S128" s="19">
        <f t="shared" si="86"/>
        <v>14.44</v>
      </c>
      <c r="T128" s="40">
        <f t="shared" si="59"/>
        <v>-12.4</v>
      </c>
      <c r="U128" s="42">
        <f t="shared" si="87"/>
        <v>26.81</v>
      </c>
      <c r="V128" s="19">
        <f t="shared" si="87"/>
        <v>14.42</v>
      </c>
      <c r="W128" s="44">
        <f t="shared" si="60"/>
        <v>-12.389999999999999</v>
      </c>
      <c r="X128" s="42">
        <f t="shared" si="88"/>
        <v>42.92</v>
      </c>
      <c r="Y128" s="19">
        <f t="shared" si="88"/>
        <v>23.09</v>
      </c>
      <c r="Z128" s="40">
        <f t="shared" si="61"/>
        <v>-19.830000000000002</v>
      </c>
      <c r="AB128" s="45">
        <f t="shared" si="52"/>
        <v>0</v>
      </c>
    </row>
    <row r="129" spans="1:28" s="45" customFormat="1" ht="13.5" outlineLevel="1">
      <c r="A129" s="39"/>
      <c r="B129" s="40" t="s">
        <v>153</v>
      </c>
      <c r="C129" s="52"/>
      <c r="D129" s="118">
        <v>9100</v>
      </c>
      <c r="E129" s="41">
        <f t="shared" si="53"/>
        <v>9100</v>
      </c>
      <c r="F129" s="43">
        <f>+C129-I129-L129-O129-R129-U129-X129</f>
        <v>0</v>
      </c>
      <c r="G129" s="19">
        <f>+D129-J129-M129-P129-S129-V129-Y129</f>
        <v>2901.75</v>
      </c>
      <c r="H129" s="40">
        <f>+G129-F129</f>
        <v>2901.75</v>
      </c>
      <c r="I129" s="43">
        <f>+ROUND(C129/$C$8*$I$8,2)</f>
        <v>0</v>
      </c>
      <c r="J129" s="19">
        <f>+ROUND(D129/$C$8*$I$8,2)</f>
        <v>942.2</v>
      </c>
      <c r="K129" s="40">
        <f>+J129-I129</f>
        <v>942.2</v>
      </c>
      <c r="L129" s="42">
        <f>+ROUND(C129/$C$8*$L$8,2)</f>
        <v>0</v>
      </c>
      <c r="M129" s="19">
        <f>+ROUND(D129/$C$8*$L$8,2)</f>
        <v>2080.36</v>
      </c>
      <c r="N129" s="40">
        <f>+M129-L129</f>
        <v>2080.36</v>
      </c>
      <c r="O129" s="42">
        <f>+ROUND(C129/$C$8*$O$8,2)</f>
        <v>0</v>
      </c>
      <c r="P129" s="19">
        <f>+ROUND(D129/$C$8*$O$8,2)</f>
        <v>978.77</v>
      </c>
      <c r="Q129" s="40">
        <f>+P129-O129</f>
        <v>978.77</v>
      </c>
      <c r="R129" s="42">
        <f>+ROUND(C129/$C$8*$R$8,2)</f>
        <v>0</v>
      </c>
      <c r="S129" s="19">
        <f>+ROUND(D129/$C$8*$R$8,2)</f>
        <v>610.67</v>
      </c>
      <c r="T129" s="40">
        <f>+S129-R129</f>
        <v>610.67</v>
      </c>
      <c r="U129" s="42">
        <f>+ROUND(C129/$C$8*$U$8,2)</f>
        <v>0</v>
      </c>
      <c r="V129" s="19">
        <f>+ROUND(D129/$C$8*$U$8,2)</f>
        <v>609.91</v>
      </c>
      <c r="W129" s="44">
        <f>+V129-U129</f>
        <v>609.91</v>
      </c>
      <c r="X129" s="42">
        <f>+ROUND(C129/$C$8*$X$8,2)</f>
        <v>0</v>
      </c>
      <c r="Y129" s="19">
        <f>+ROUND(D129/$C$8*$X$8,2)</f>
        <v>976.34</v>
      </c>
      <c r="Z129" s="40">
        <f>+Y129-X129</f>
        <v>976.34</v>
      </c>
      <c r="AB129" s="45">
        <f t="shared" si="52"/>
        <v>0</v>
      </c>
    </row>
    <row r="130" spans="1:28" s="45" customFormat="1" ht="13.5" outlineLevel="1">
      <c r="A130" s="39"/>
      <c r="B130" s="40" t="s">
        <v>112</v>
      </c>
      <c r="C130" s="52">
        <v>9888</v>
      </c>
      <c r="D130" s="118">
        <f>2400*4</f>
        <v>9600</v>
      </c>
      <c r="E130" s="41">
        <f t="shared" si="53"/>
        <v>-288</v>
      </c>
      <c r="F130" s="43">
        <f>+C130-I130-L130-O130-R130-U130-X130</f>
        <v>3153.0099999999993</v>
      </c>
      <c r="G130" s="19">
        <f>+D130-J130-M130-P130-S130-V130-Y130</f>
        <v>3061.1800000000003</v>
      </c>
      <c r="H130" s="40">
        <f>+G130-F130</f>
        <v>-91.82999999999902</v>
      </c>
      <c r="I130" s="43">
        <f>+ROUND(C130/$C$8*$I$8,2)</f>
        <v>1023.79</v>
      </c>
      <c r="J130" s="19">
        <f>+ROUND(D130/$C$8*$I$8,2)</f>
        <v>993.97</v>
      </c>
      <c r="K130" s="40">
        <f>+J130-I130</f>
        <v>-29.819999999999936</v>
      </c>
      <c r="L130" s="42">
        <f>+ROUND(C130/$C$8*$L$8,2)</f>
        <v>2260.5</v>
      </c>
      <c r="M130" s="19">
        <f>+ROUND(D130/$C$8*$L$8,2)</f>
        <v>2194.66</v>
      </c>
      <c r="N130" s="40">
        <f>+M130-L130</f>
        <v>-65.84000000000015</v>
      </c>
      <c r="O130" s="42">
        <f>+ROUND(C130/$C$8*$O$8,2)</f>
        <v>1063.53</v>
      </c>
      <c r="P130" s="19">
        <f>+ROUND(D130/$C$8*$O$8,2)</f>
        <v>1032.55</v>
      </c>
      <c r="Q130" s="40">
        <f>+P130-O130</f>
        <v>-30.980000000000018</v>
      </c>
      <c r="R130" s="42">
        <f>+ROUND(C130/$C$8*$R$8,2)</f>
        <v>663.55</v>
      </c>
      <c r="S130" s="19">
        <f>+ROUND(D130/$C$8*$R$8,2)</f>
        <v>644.23</v>
      </c>
      <c r="T130" s="40">
        <f>+S130-R130</f>
        <v>-19.319999999999936</v>
      </c>
      <c r="U130" s="42">
        <f>+ROUND(C130/$C$8*$U$8,2)</f>
        <v>662.73</v>
      </c>
      <c r="V130" s="19">
        <f>+ROUND(D130/$C$8*$U$8,2)</f>
        <v>643.42</v>
      </c>
      <c r="W130" s="44">
        <f>+V130-U130</f>
        <v>-19.31000000000006</v>
      </c>
      <c r="X130" s="42">
        <f>+ROUND(C130/$C$8*$X$8,2)</f>
        <v>1060.89</v>
      </c>
      <c r="Y130" s="19">
        <f>+ROUND(D130/$C$8*$X$8,2)</f>
        <v>1029.99</v>
      </c>
      <c r="Z130" s="40">
        <f>+Y130-X130</f>
        <v>-30.90000000000009</v>
      </c>
      <c r="AB130" s="45">
        <f t="shared" si="52"/>
        <v>0</v>
      </c>
    </row>
    <row r="131" spans="1:28" s="45" customFormat="1" ht="13.5" outlineLevel="1">
      <c r="A131" s="39"/>
      <c r="B131" s="40" t="s">
        <v>81</v>
      </c>
      <c r="C131" s="52">
        <v>25100</v>
      </c>
      <c r="D131" s="61">
        <f>7250+3300+7300</f>
        <v>17850</v>
      </c>
      <c r="E131" s="41">
        <f t="shared" si="53"/>
        <v>-7250</v>
      </c>
      <c r="F131" s="43">
        <f t="shared" si="81"/>
        <v>8003.720000000001</v>
      </c>
      <c r="G131" s="19">
        <f t="shared" si="81"/>
        <v>5691.879999999999</v>
      </c>
      <c r="H131" s="40">
        <f t="shared" si="55"/>
        <v>-2311.840000000002</v>
      </c>
      <c r="I131" s="43">
        <f t="shared" si="82"/>
        <v>2598.82</v>
      </c>
      <c r="J131" s="19">
        <f t="shared" si="82"/>
        <v>1848.16</v>
      </c>
      <c r="K131" s="40">
        <f t="shared" si="83"/>
        <v>-750.6600000000001</v>
      </c>
      <c r="L131" s="42">
        <f t="shared" si="84"/>
        <v>5738.12</v>
      </c>
      <c r="M131" s="19">
        <f t="shared" si="84"/>
        <v>4080.7</v>
      </c>
      <c r="N131" s="40">
        <f t="shared" si="57"/>
        <v>-1657.42</v>
      </c>
      <c r="O131" s="42">
        <f t="shared" si="85"/>
        <v>2699.69</v>
      </c>
      <c r="P131" s="19">
        <f t="shared" si="85"/>
        <v>1919.9</v>
      </c>
      <c r="Q131" s="40">
        <f t="shared" si="58"/>
        <v>-779.79</v>
      </c>
      <c r="R131" s="42">
        <f t="shared" si="86"/>
        <v>1684.38</v>
      </c>
      <c r="S131" s="19">
        <f t="shared" si="86"/>
        <v>1197.86</v>
      </c>
      <c r="T131" s="40">
        <f t="shared" si="59"/>
        <v>-486.5200000000002</v>
      </c>
      <c r="U131" s="42">
        <f t="shared" si="87"/>
        <v>1682.28</v>
      </c>
      <c r="V131" s="19">
        <f t="shared" si="87"/>
        <v>1196.36</v>
      </c>
      <c r="W131" s="44">
        <f t="shared" si="60"/>
        <v>-485.9200000000001</v>
      </c>
      <c r="X131" s="42">
        <f t="shared" si="88"/>
        <v>2692.99</v>
      </c>
      <c r="Y131" s="19">
        <f t="shared" si="88"/>
        <v>1915.14</v>
      </c>
      <c r="Z131" s="40">
        <f t="shared" si="61"/>
        <v>-777.8499999999997</v>
      </c>
      <c r="AB131" s="45">
        <f t="shared" si="52"/>
        <v>0</v>
      </c>
    </row>
    <row r="132" spans="1:28" s="45" customFormat="1" ht="13.5" outlineLevel="1">
      <c r="A132" s="39"/>
      <c r="B132" s="40" t="s">
        <v>84</v>
      </c>
      <c r="C132" s="52">
        <v>1000</v>
      </c>
      <c r="D132" s="61"/>
      <c r="E132" s="41">
        <f t="shared" si="53"/>
        <v>-1000</v>
      </c>
      <c r="F132" s="43">
        <f t="shared" si="81"/>
        <v>318.86999999999995</v>
      </c>
      <c r="G132" s="19">
        <f t="shared" si="81"/>
        <v>0</v>
      </c>
      <c r="H132" s="40">
        <f t="shared" si="55"/>
        <v>-318.86999999999995</v>
      </c>
      <c r="I132" s="43">
        <f t="shared" si="82"/>
        <v>103.54</v>
      </c>
      <c r="J132" s="19">
        <f t="shared" si="82"/>
        <v>0</v>
      </c>
      <c r="K132" s="40">
        <f t="shared" si="83"/>
        <v>-103.54</v>
      </c>
      <c r="L132" s="42">
        <f t="shared" si="84"/>
        <v>228.61</v>
      </c>
      <c r="M132" s="19">
        <f t="shared" si="84"/>
        <v>0</v>
      </c>
      <c r="N132" s="40">
        <f t="shared" si="57"/>
        <v>-228.61</v>
      </c>
      <c r="O132" s="42">
        <f t="shared" si="85"/>
        <v>107.56</v>
      </c>
      <c r="P132" s="19">
        <f t="shared" si="85"/>
        <v>0</v>
      </c>
      <c r="Q132" s="40">
        <f t="shared" si="58"/>
        <v>-107.56</v>
      </c>
      <c r="R132" s="42">
        <f t="shared" si="86"/>
        <v>67.11</v>
      </c>
      <c r="S132" s="19">
        <f t="shared" si="86"/>
        <v>0</v>
      </c>
      <c r="T132" s="40">
        <f t="shared" si="59"/>
        <v>-67.11</v>
      </c>
      <c r="U132" s="42">
        <f t="shared" si="87"/>
        <v>67.02</v>
      </c>
      <c r="V132" s="19">
        <f t="shared" si="87"/>
        <v>0</v>
      </c>
      <c r="W132" s="44">
        <f t="shared" si="60"/>
        <v>-67.02</v>
      </c>
      <c r="X132" s="42">
        <f t="shared" si="88"/>
        <v>107.29</v>
      </c>
      <c r="Y132" s="19">
        <f t="shared" si="88"/>
        <v>0</v>
      </c>
      <c r="Z132" s="40">
        <f t="shared" si="61"/>
        <v>-107.29</v>
      </c>
      <c r="AB132" s="45">
        <f t="shared" si="52"/>
        <v>1.1368683772161603E-13</v>
      </c>
    </row>
    <row r="133" spans="1:28" s="45" customFormat="1" ht="13.5" hidden="1" outlineLevel="2">
      <c r="A133" s="39"/>
      <c r="B133" s="40" t="s">
        <v>109</v>
      </c>
      <c r="C133" s="52"/>
      <c r="D133" s="61"/>
      <c r="E133" s="41">
        <f>+D133-C133</f>
        <v>0</v>
      </c>
      <c r="F133" s="43">
        <f>+C133-I133-L133-O133-R133-U133-X133</f>
        <v>0</v>
      </c>
      <c r="G133" s="19">
        <f>+D133-J133-M133-P133-S133-V133-Y133</f>
        <v>0</v>
      </c>
      <c r="H133" s="40">
        <f>+G133-F133</f>
        <v>0</v>
      </c>
      <c r="I133" s="43">
        <f>+ROUND(C133/$C$8*$I$8,2)</f>
        <v>0</v>
      </c>
      <c r="J133" s="19">
        <f>+ROUND(D133/$C$8*$I$8,2)</f>
        <v>0</v>
      </c>
      <c r="K133" s="40">
        <f>+J133-I133</f>
        <v>0</v>
      </c>
      <c r="L133" s="42">
        <f>+ROUND(C133/$C$8*$L$8,2)</f>
        <v>0</v>
      </c>
      <c r="M133" s="19">
        <f>+ROUND(D133/$C$8*$L$8,2)</f>
        <v>0</v>
      </c>
      <c r="N133" s="40">
        <f>+M133-L133</f>
        <v>0</v>
      </c>
      <c r="O133" s="42">
        <f>+ROUND(C133/$C$8*$O$8,2)</f>
        <v>0</v>
      </c>
      <c r="P133" s="19">
        <f>+ROUND(D133/$C$8*$O$8,2)</f>
        <v>0</v>
      </c>
      <c r="Q133" s="40">
        <f>+P133-O133</f>
        <v>0</v>
      </c>
      <c r="R133" s="42">
        <f>+ROUND(C133/$C$8*$R$8,2)</f>
        <v>0</v>
      </c>
      <c r="S133" s="19">
        <f>+ROUND(D133/$C$8*$R$8,2)</f>
        <v>0</v>
      </c>
      <c r="T133" s="40">
        <f>+S133-R133</f>
        <v>0</v>
      </c>
      <c r="U133" s="42">
        <f>+ROUND(C133/$C$8*$U$8,2)</f>
        <v>0</v>
      </c>
      <c r="V133" s="19">
        <f>+ROUND(D133/$C$8*$U$8,2)</f>
        <v>0</v>
      </c>
      <c r="W133" s="44">
        <f>+V133-U133</f>
        <v>0</v>
      </c>
      <c r="X133" s="42">
        <f>+ROUND(C133/$C$8*$X$8,2)</f>
        <v>0</v>
      </c>
      <c r="Y133" s="19">
        <f>+ROUND(D133/$C$8*$X$8,2)</f>
        <v>0</v>
      </c>
      <c r="Z133" s="40">
        <f>+Y133-X133</f>
        <v>0</v>
      </c>
      <c r="AB133" s="45">
        <f t="shared" si="52"/>
        <v>0</v>
      </c>
    </row>
    <row r="134" spans="1:28" s="45" customFormat="1" ht="13.5" outlineLevel="1" collapsed="1">
      <c r="A134" s="39"/>
      <c r="B134" s="40" t="s">
        <v>86</v>
      </c>
      <c r="C134" s="52">
        <v>10000</v>
      </c>
      <c r="D134" s="61">
        <v>6240</v>
      </c>
      <c r="E134" s="41">
        <f t="shared" si="53"/>
        <v>-3760</v>
      </c>
      <c r="F134" s="43">
        <f t="shared" si="81"/>
        <v>3188.74</v>
      </c>
      <c r="G134" s="19">
        <f t="shared" si="81"/>
        <v>1989.7700000000002</v>
      </c>
      <c r="H134" s="40">
        <f t="shared" si="55"/>
        <v>-1198.9699999999996</v>
      </c>
      <c r="I134" s="43">
        <f t="shared" si="82"/>
        <v>1035.38</v>
      </c>
      <c r="J134" s="19">
        <f t="shared" si="82"/>
        <v>646.08</v>
      </c>
      <c r="K134" s="40">
        <f t="shared" si="83"/>
        <v>-389.30000000000007</v>
      </c>
      <c r="L134" s="42">
        <f t="shared" si="84"/>
        <v>2286.1</v>
      </c>
      <c r="M134" s="19">
        <f t="shared" si="84"/>
        <v>1426.53</v>
      </c>
      <c r="N134" s="40">
        <f t="shared" si="57"/>
        <v>-859.5699999999999</v>
      </c>
      <c r="O134" s="42">
        <f t="shared" si="85"/>
        <v>1075.57</v>
      </c>
      <c r="P134" s="19">
        <f t="shared" si="85"/>
        <v>671.16</v>
      </c>
      <c r="Q134" s="40">
        <f t="shared" si="58"/>
        <v>-404.40999999999997</v>
      </c>
      <c r="R134" s="42">
        <f t="shared" si="86"/>
        <v>671.07</v>
      </c>
      <c r="S134" s="19">
        <f t="shared" si="86"/>
        <v>418.75</v>
      </c>
      <c r="T134" s="40">
        <f t="shared" si="59"/>
        <v>-252.32000000000005</v>
      </c>
      <c r="U134" s="42">
        <f t="shared" si="87"/>
        <v>670.23</v>
      </c>
      <c r="V134" s="19">
        <f t="shared" si="87"/>
        <v>418.22</v>
      </c>
      <c r="W134" s="44">
        <f t="shared" si="60"/>
        <v>-252.01</v>
      </c>
      <c r="X134" s="42">
        <f t="shared" si="88"/>
        <v>1072.91</v>
      </c>
      <c r="Y134" s="19">
        <f t="shared" si="88"/>
        <v>669.49</v>
      </c>
      <c r="Z134" s="40">
        <f t="shared" si="61"/>
        <v>-403.4200000000001</v>
      </c>
      <c r="AB134" s="45">
        <f t="shared" si="52"/>
        <v>0</v>
      </c>
    </row>
    <row r="135" spans="1:28" s="45" customFormat="1" ht="13.5" outlineLevel="1">
      <c r="A135" s="39"/>
      <c r="B135" s="40" t="s">
        <v>82</v>
      </c>
      <c r="C135" s="52">
        <v>2500</v>
      </c>
      <c r="D135" s="61">
        <v>2300</v>
      </c>
      <c r="E135" s="41">
        <f t="shared" si="53"/>
        <v>-200</v>
      </c>
      <c r="F135" s="43">
        <f t="shared" si="81"/>
        <v>797.1700000000001</v>
      </c>
      <c r="G135" s="19">
        <f t="shared" si="81"/>
        <v>733.4100000000004</v>
      </c>
      <c r="H135" s="40">
        <f t="shared" si="55"/>
        <v>-63.75999999999965</v>
      </c>
      <c r="I135" s="43">
        <f t="shared" si="82"/>
        <v>258.85</v>
      </c>
      <c r="J135" s="19">
        <f t="shared" si="82"/>
        <v>238.14</v>
      </c>
      <c r="K135" s="40">
        <f t="shared" si="83"/>
        <v>-20.710000000000036</v>
      </c>
      <c r="L135" s="42">
        <f t="shared" si="84"/>
        <v>571.53</v>
      </c>
      <c r="M135" s="19">
        <f t="shared" si="84"/>
        <v>525.8</v>
      </c>
      <c r="N135" s="40">
        <f t="shared" si="57"/>
        <v>-45.73000000000002</v>
      </c>
      <c r="O135" s="42">
        <f t="shared" si="85"/>
        <v>268.89</v>
      </c>
      <c r="P135" s="19">
        <f t="shared" si="85"/>
        <v>247.38</v>
      </c>
      <c r="Q135" s="40">
        <f t="shared" si="58"/>
        <v>-21.50999999999999</v>
      </c>
      <c r="R135" s="42">
        <f t="shared" si="86"/>
        <v>167.77</v>
      </c>
      <c r="S135" s="19">
        <f t="shared" si="86"/>
        <v>154.35</v>
      </c>
      <c r="T135" s="40">
        <f t="shared" si="59"/>
        <v>-13.420000000000016</v>
      </c>
      <c r="U135" s="42">
        <f t="shared" si="87"/>
        <v>167.56</v>
      </c>
      <c r="V135" s="19">
        <f t="shared" si="87"/>
        <v>154.15</v>
      </c>
      <c r="W135" s="44">
        <f t="shared" si="60"/>
        <v>-13.409999999999997</v>
      </c>
      <c r="X135" s="42">
        <f t="shared" si="88"/>
        <v>268.23</v>
      </c>
      <c r="Y135" s="19">
        <f t="shared" si="88"/>
        <v>246.77</v>
      </c>
      <c r="Z135" s="40">
        <f t="shared" si="61"/>
        <v>-21.460000000000008</v>
      </c>
      <c r="AB135" s="45">
        <f t="shared" si="52"/>
        <v>0</v>
      </c>
    </row>
    <row r="136" spans="1:28" s="45" customFormat="1" ht="13.5" outlineLevel="1">
      <c r="A136" s="39"/>
      <c r="B136" s="40" t="s">
        <v>50</v>
      </c>
      <c r="C136" s="52">
        <v>23500.68</v>
      </c>
      <c r="D136" s="118">
        <v>23500.68</v>
      </c>
      <c r="E136" s="41">
        <f t="shared" si="53"/>
        <v>0</v>
      </c>
      <c r="F136" s="43">
        <f t="shared" si="81"/>
        <v>7493.730000000001</v>
      </c>
      <c r="G136" s="19">
        <f t="shared" si="81"/>
        <v>7493.730000000001</v>
      </c>
      <c r="H136" s="40">
        <f t="shared" si="55"/>
        <v>0</v>
      </c>
      <c r="I136" s="43">
        <f t="shared" si="82"/>
        <v>2433.23</v>
      </c>
      <c r="J136" s="19">
        <f t="shared" si="82"/>
        <v>2433.23</v>
      </c>
      <c r="K136" s="40">
        <f t="shared" si="83"/>
        <v>0</v>
      </c>
      <c r="L136" s="42">
        <f t="shared" si="84"/>
        <v>5372.5</v>
      </c>
      <c r="M136" s="19">
        <f t="shared" si="84"/>
        <v>5372.5</v>
      </c>
      <c r="N136" s="40">
        <f t="shared" si="57"/>
        <v>0</v>
      </c>
      <c r="O136" s="42">
        <f t="shared" si="85"/>
        <v>2527.67</v>
      </c>
      <c r="P136" s="19">
        <f t="shared" si="85"/>
        <v>2527.67</v>
      </c>
      <c r="Q136" s="40">
        <f t="shared" si="58"/>
        <v>0</v>
      </c>
      <c r="R136" s="42">
        <f t="shared" si="86"/>
        <v>1577.06</v>
      </c>
      <c r="S136" s="19">
        <f t="shared" si="86"/>
        <v>1577.06</v>
      </c>
      <c r="T136" s="40">
        <f t="shared" si="59"/>
        <v>0</v>
      </c>
      <c r="U136" s="42">
        <f t="shared" si="87"/>
        <v>1575.09</v>
      </c>
      <c r="V136" s="19">
        <f t="shared" si="87"/>
        <v>1575.09</v>
      </c>
      <c r="W136" s="44">
        <f t="shared" si="60"/>
        <v>0</v>
      </c>
      <c r="X136" s="42">
        <f t="shared" si="88"/>
        <v>2521.4</v>
      </c>
      <c r="Y136" s="19">
        <f t="shared" si="88"/>
        <v>2521.4</v>
      </c>
      <c r="Z136" s="40">
        <f t="shared" si="61"/>
        <v>0</v>
      </c>
      <c r="AB136" s="45">
        <f t="shared" si="52"/>
        <v>0</v>
      </c>
    </row>
    <row r="137" spans="1:28" s="45" customFormat="1" ht="13.5" outlineLevel="1">
      <c r="A137" s="39"/>
      <c r="B137" s="40" t="s">
        <v>85</v>
      </c>
      <c r="C137" s="52">
        <v>1020</v>
      </c>
      <c r="D137" s="118">
        <v>2040</v>
      </c>
      <c r="E137" s="41">
        <f t="shared" si="53"/>
        <v>1020</v>
      </c>
      <c r="F137" s="43">
        <f t="shared" si="81"/>
        <v>325.25</v>
      </c>
      <c r="G137" s="19">
        <f t="shared" si="81"/>
        <v>650.4899999999998</v>
      </c>
      <c r="H137" s="40">
        <f t="shared" si="55"/>
        <v>325.2399999999998</v>
      </c>
      <c r="I137" s="43">
        <f t="shared" si="82"/>
        <v>105.61</v>
      </c>
      <c r="J137" s="19">
        <f t="shared" si="82"/>
        <v>211.22</v>
      </c>
      <c r="K137" s="40">
        <f t="shared" si="83"/>
        <v>105.61</v>
      </c>
      <c r="L137" s="42">
        <f t="shared" si="84"/>
        <v>233.18</v>
      </c>
      <c r="M137" s="19">
        <f t="shared" si="84"/>
        <v>466.37</v>
      </c>
      <c r="N137" s="40">
        <f t="shared" si="57"/>
        <v>233.19</v>
      </c>
      <c r="O137" s="42">
        <f t="shared" si="85"/>
        <v>109.71</v>
      </c>
      <c r="P137" s="19">
        <f t="shared" si="85"/>
        <v>219.42</v>
      </c>
      <c r="Q137" s="40">
        <f t="shared" si="58"/>
        <v>109.71</v>
      </c>
      <c r="R137" s="42">
        <f t="shared" si="86"/>
        <v>68.45</v>
      </c>
      <c r="S137" s="19">
        <f t="shared" si="86"/>
        <v>136.9</v>
      </c>
      <c r="T137" s="40">
        <f t="shared" si="59"/>
        <v>68.45</v>
      </c>
      <c r="U137" s="42">
        <f t="shared" si="87"/>
        <v>68.36</v>
      </c>
      <c r="V137" s="19">
        <f t="shared" si="87"/>
        <v>136.73</v>
      </c>
      <c r="W137" s="44">
        <f t="shared" si="60"/>
        <v>68.36999999999999</v>
      </c>
      <c r="X137" s="42">
        <f t="shared" si="88"/>
        <v>109.44</v>
      </c>
      <c r="Y137" s="19">
        <f t="shared" si="88"/>
        <v>218.87</v>
      </c>
      <c r="Z137" s="40">
        <f t="shared" si="61"/>
        <v>109.43</v>
      </c>
      <c r="AB137" s="45">
        <f t="shared" si="52"/>
        <v>0</v>
      </c>
    </row>
    <row r="138" spans="1:28" s="45" customFormat="1" ht="13.5" outlineLevel="1">
      <c r="A138" s="39"/>
      <c r="B138" s="40" t="s">
        <v>11</v>
      </c>
      <c r="C138" s="52">
        <v>17808.29</v>
      </c>
      <c r="D138" s="118">
        <v>20672.21</v>
      </c>
      <c r="E138" s="41">
        <f t="shared" si="53"/>
        <v>2863.9199999999983</v>
      </c>
      <c r="F138" s="43">
        <f>+C138-I138-L138-O138-R138-U138-X138</f>
        <v>5678.590000000002</v>
      </c>
      <c r="G138" s="19">
        <f>+D138-J138-M138-P138-S138-V138-Y138</f>
        <v>6591.809999999998</v>
      </c>
      <c r="H138" s="40">
        <f>+G138-F138</f>
        <v>913.2199999999957</v>
      </c>
      <c r="I138" s="43">
        <f>+ROUND(C138/$C$8*$I$8,2)</f>
        <v>1843.84</v>
      </c>
      <c r="J138" s="19">
        <f>+ROUND(D138/$C$8*$I$8,2)</f>
        <v>2140.37</v>
      </c>
      <c r="K138" s="40">
        <f>+J138-I138</f>
        <v>296.53</v>
      </c>
      <c r="L138" s="42">
        <f>+ROUND(C138/$C$8*$L$8,2)</f>
        <v>4071.16</v>
      </c>
      <c r="M138" s="19">
        <f>+ROUND(D138/$C$8*$L$8,2)</f>
        <v>4725.88</v>
      </c>
      <c r="N138" s="40">
        <f>+M138-L138</f>
        <v>654.7200000000003</v>
      </c>
      <c r="O138" s="42">
        <f>+ROUND(C138/$C$8*$O$8,2)</f>
        <v>1915.41</v>
      </c>
      <c r="P138" s="19">
        <f>+ROUND(D138/$C$8*$O$8,2)</f>
        <v>2223.45</v>
      </c>
      <c r="Q138" s="40">
        <f>+P138-O138</f>
        <v>308.03999999999974</v>
      </c>
      <c r="R138" s="42">
        <f>+ROUND(C138/$C$8*$R$8,2)</f>
        <v>1195.06</v>
      </c>
      <c r="S138" s="19">
        <f>+ROUND(D138/$C$8*$R$8,2)</f>
        <v>1387.25</v>
      </c>
      <c r="T138" s="40">
        <f>+S138-R138</f>
        <v>192.19000000000005</v>
      </c>
      <c r="U138" s="42">
        <f>+ROUND(C138/$C$8*$U$8,2)</f>
        <v>1193.57</v>
      </c>
      <c r="V138" s="19">
        <f>+ROUND(D138/$C$8*$U$8,2)</f>
        <v>1385.52</v>
      </c>
      <c r="W138" s="44">
        <f>+V138-U138</f>
        <v>191.95000000000005</v>
      </c>
      <c r="X138" s="42">
        <f>+ROUND(C138/$C$8*$X$8,2)</f>
        <v>1910.66</v>
      </c>
      <c r="Y138" s="19">
        <f>+ROUND(D138/$C$8*$X$8,2)</f>
        <v>2217.93</v>
      </c>
      <c r="Z138" s="40">
        <f>+Y138-X138</f>
        <v>307.26999999999975</v>
      </c>
      <c r="AB138" s="45">
        <f t="shared" si="52"/>
        <v>0</v>
      </c>
    </row>
    <row r="139" spans="1:28" s="45" customFormat="1" ht="13.5" outlineLevel="1">
      <c r="A139" s="39"/>
      <c r="B139" s="40" t="s">
        <v>87</v>
      </c>
      <c r="C139" s="52">
        <v>97200</v>
      </c>
      <c r="D139" s="61">
        <f>29745+23290+65647.54-8440.04-250+231</f>
        <v>110223.5</v>
      </c>
      <c r="E139" s="41">
        <f t="shared" si="53"/>
        <v>13023.5</v>
      </c>
      <c r="F139" s="43">
        <f>+C139-I139-L139-O139-R139-U139-X139</f>
        <v>30994.449999999997</v>
      </c>
      <c r="G139" s="19">
        <f>+D139-J139-M139-P139-S139-V139-Y139</f>
        <v>35147.30999999999</v>
      </c>
      <c r="H139" s="40">
        <f>+G139-F139</f>
        <v>4152.859999999993</v>
      </c>
      <c r="I139" s="43">
        <f>+ROUND(C139/$C$8*$I$8,2)</f>
        <v>10063.94</v>
      </c>
      <c r="J139" s="19">
        <f>+ROUND(D139/$C$8*$I$8,2)</f>
        <v>11412.38</v>
      </c>
      <c r="K139" s="40">
        <f>+J139-I139</f>
        <v>1348.4399999999987</v>
      </c>
      <c r="L139" s="42">
        <f>+ROUND(C139/$C$8*$L$8,2)</f>
        <v>22220.94</v>
      </c>
      <c r="M139" s="19">
        <f>+ROUND(D139/$C$8*$L$8,2)</f>
        <v>25198.24</v>
      </c>
      <c r="N139" s="40">
        <f>+M139-L139</f>
        <v>2977.300000000003</v>
      </c>
      <c r="O139" s="42">
        <f>+ROUND(C139/$C$8*$O$8,2)</f>
        <v>10454.58</v>
      </c>
      <c r="P139" s="19">
        <f>+ROUND(D139/$C$8*$O$8,2)</f>
        <v>11855.35</v>
      </c>
      <c r="Q139" s="40">
        <f>+P139-O139</f>
        <v>1400.7700000000004</v>
      </c>
      <c r="R139" s="42">
        <f>+ROUND(C139/$C$8*$R$8,2)</f>
        <v>6522.79</v>
      </c>
      <c r="S139" s="19">
        <f>+ROUND(D139/$C$8*$R$8,2)</f>
        <v>7396.76</v>
      </c>
      <c r="T139" s="40">
        <f>+S139-R139</f>
        <v>873.9700000000003</v>
      </c>
      <c r="U139" s="42">
        <f>+ROUND(C139/$C$8*$U$8,2)</f>
        <v>6514.66</v>
      </c>
      <c r="V139" s="19">
        <f>+ROUND(D139/$C$8*$U$8,2)</f>
        <v>7387.53</v>
      </c>
      <c r="W139" s="44">
        <f>+V139-U139</f>
        <v>872.8699999999999</v>
      </c>
      <c r="X139" s="42">
        <f>+ROUND(C139/$C$8*$X$8,2)</f>
        <v>10428.64</v>
      </c>
      <c r="Y139" s="19">
        <f>+ROUND(D139/$C$8*$X$8,2)</f>
        <v>11825.93</v>
      </c>
      <c r="Z139" s="40">
        <f>+Y139-X139</f>
        <v>1397.2900000000009</v>
      </c>
      <c r="AB139" s="45">
        <f t="shared" si="52"/>
        <v>0</v>
      </c>
    </row>
    <row r="140" spans="1:28" s="45" customFormat="1" ht="27.75" customHeight="1" hidden="1" outlineLevel="2">
      <c r="A140" s="46"/>
      <c r="B140" s="95" t="s">
        <v>53</v>
      </c>
      <c r="C140" s="52"/>
      <c r="D140" s="61"/>
      <c r="E140" s="41">
        <f t="shared" si="53"/>
        <v>0</v>
      </c>
      <c r="F140" s="43">
        <f t="shared" si="81"/>
        <v>0</v>
      </c>
      <c r="G140" s="19">
        <f t="shared" si="81"/>
        <v>0</v>
      </c>
      <c r="H140" s="40">
        <f t="shared" si="55"/>
        <v>0</v>
      </c>
      <c r="I140" s="43">
        <f t="shared" si="82"/>
        <v>0</v>
      </c>
      <c r="J140" s="19">
        <f t="shared" si="82"/>
        <v>0</v>
      </c>
      <c r="K140" s="40">
        <f t="shared" si="83"/>
        <v>0</v>
      </c>
      <c r="L140" s="42">
        <f t="shared" si="84"/>
        <v>0</v>
      </c>
      <c r="M140" s="19">
        <f t="shared" si="84"/>
        <v>0</v>
      </c>
      <c r="N140" s="40">
        <f t="shared" si="57"/>
        <v>0</v>
      </c>
      <c r="O140" s="42">
        <f t="shared" si="85"/>
        <v>0</v>
      </c>
      <c r="P140" s="19">
        <f t="shared" si="85"/>
        <v>0</v>
      </c>
      <c r="Q140" s="40">
        <f t="shared" si="58"/>
        <v>0</v>
      </c>
      <c r="R140" s="42">
        <f t="shared" si="86"/>
        <v>0</v>
      </c>
      <c r="S140" s="19">
        <f t="shared" si="86"/>
        <v>0</v>
      </c>
      <c r="T140" s="40">
        <f t="shared" si="59"/>
        <v>0</v>
      </c>
      <c r="U140" s="42">
        <f t="shared" si="87"/>
        <v>0</v>
      </c>
      <c r="V140" s="19">
        <f t="shared" si="87"/>
        <v>0</v>
      </c>
      <c r="W140" s="44">
        <f t="shared" si="60"/>
        <v>0</v>
      </c>
      <c r="X140" s="42">
        <f t="shared" si="88"/>
        <v>0</v>
      </c>
      <c r="Y140" s="19">
        <f t="shared" si="88"/>
        <v>0</v>
      </c>
      <c r="Z140" s="40">
        <f t="shared" si="61"/>
        <v>0</v>
      </c>
      <c r="AB140" s="45">
        <f t="shared" si="52"/>
        <v>0</v>
      </c>
    </row>
    <row r="141" spans="1:28" s="45" customFormat="1" ht="13.5" outlineLevel="1" collapsed="1">
      <c r="A141" s="46"/>
      <c r="B141" s="95" t="s">
        <v>141</v>
      </c>
      <c r="C141" s="52"/>
      <c r="D141" s="118">
        <f>33428+5500</f>
        <v>38928</v>
      </c>
      <c r="E141" s="41">
        <f t="shared" si="53"/>
        <v>38928</v>
      </c>
      <c r="F141" s="43">
        <f>+C141-I141-L141-O141-R141-U141-X141</f>
        <v>0</v>
      </c>
      <c r="G141" s="19">
        <f>+D141-J141-M141-P141-S141-V141-Y141</f>
        <v>12413.090000000002</v>
      </c>
      <c r="H141" s="40">
        <f>+G141-F141</f>
        <v>12413.090000000002</v>
      </c>
      <c r="I141" s="43">
        <f>+ROUND(C141/$C$8*$I$8,2)</f>
        <v>0</v>
      </c>
      <c r="J141" s="19">
        <f>+ROUND(D141/$C$8*$I$8,2)</f>
        <v>4030.55</v>
      </c>
      <c r="K141" s="40">
        <f>+J141-I141</f>
        <v>4030.55</v>
      </c>
      <c r="L141" s="42">
        <f>+ROUND(C141/$C$8*$L$8,2)</f>
        <v>0</v>
      </c>
      <c r="M141" s="19">
        <f>+ROUND(D141/$C$8*$L$8,2)</f>
        <v>8899.35</v>
      </c>
      <c r="N141" s="40">
        <f>+M141-L141</f>
        <v>8899.35</v>
      </c>
      <c r="O141" s="42">
        <f>+ROUND(C141/$C$8*$O$8,2)</f>
        <v>0</v>
      </c>
      <c r="P141" s="19">
        <f>+ROUND(D141/$C$8*$O$8,2)</f>
        <v>4186.99</v>
      </c>
      <c r="Q141" s="40">
        <f>+P141-O141</f>
        <v>4186.99</v>
      </c>
      <c r="R141" s="42">
        <f>+ROUND(C141/$C$8*$R$8,2)</f>
        <v>0</v>
      </c>
      <c r="S141" s="19">
        <f>+ROUND(D141/$C$8*$R$8,2)</f>
        <v>2612.34</v>
      </c>
      <c r="T141" s="40">
        <f>+S141-R141</f>
        <v>2612.34</v>
      </c>
      <c r="U141" s="42">
        <f>+ROUND(C141/$C$8*$U$8,2)</f>
        <v>0</v>
      </c>
      <c r="V141" s="19">
        <f>+ROUND(D141/$C$8*$U$8,2)</f>
        <v>2609.08</v>
      </c>
      <c r="W141" s="44">
        <f>+V141-U141</f>
        <v>2609.08</v>
      </c>
      <c r="X141" s="42">
        <f>+ROUND(C141/$C$8*$X$8,2)</f>
        <v>0</v>
      </c>
      <c r="Y141" s="19">
        <f>+ROUND(D141/$C$8*$X$8,2)</f>
        <v>4176.6</v>
      </c>
      <c r="Z141" s="40">
        <f>+Y141-X141</f>
        <v>4176.6</v>
      </c>
      <c r="AB141" s="45">
        <f t="shared" si="52"/>
        <v>0</v>
      </c>
    </row>
    <row r="142" spans="1:28" s="45" customFormat="1" ht="26.25" hidden="1" outlineLevel="2">
      <c r="A142" s="46"/>
      <c r="B142" s="95" t="s">
        <v>111</v>
      </c>
      <c r="C142" s="52"/>
      <c r="D142" s="61"/>
      <c r="E142" s="41">
        <f t="shared" si="53"/>
        <v>0</v>
      </c>
      <c r="F142" s="43">
        <f>+C142-I142-L142-O142-R142-U142-X142</f>
        <v>0</v>
      </c>
      <c r="G142" s="19">
        <f>+D142-J142-M142-P142-S142-V142-Y142</f>
        <v>0</v>
      </c>
      <c r="H142" s="40">
        <f>+G142-F142</f>
        <v>0</v>
      </c>
      <c r="I142" s="43">
        <f>+ROUND(C142/$C$8*$I$8,2)</f>
        <v>0</v>
      </c>
      <c r="J142" s="19">
        <f>+ROUND(D142/$C$8*$I$8,2)</f>
        <v>0</v>
      </c>
      <c r="K142" s="40">
        <f>+J142-I142</f>
        <v>0</v>
      </c>
      <c r="L142" s="42">
        <f>+ROUND(C142/$C$8*$L$8,2)</f>
        <v>0</v>
      </c>
      <c r="M142" s="19">
        <f>+ROUND(D142/$C$8*$L$8,2)</f>
        <v>0</v>
      </c>
      <c r="N142" s="40">
        <f>+M142-L142</f>
        <v>0</v>
      </c>
      <c r="O142" s="42">
        <f>+ROUND(C142/$C$8*$O$8,2)</f>
        <v>0</v>
      </c>
      <c r="P142" s="19">
        <f>+ROUND(D142/$C$8*$O$8,2)</f>
        <v>0</v>
      </c>
      <c r="Q142" s="40">
        <f>+P142-O142</f>
        <v>0</v>
      </c>
      <c r="R142" s="42">
        <f>+ROUND(C142/$C$8*$R$8,2)</f>
        <v>0</v>
      </c>
      <c r="S142" s="19">
        <f>+ROUND(D142/$C$8*$R$8,2)</f>
        <v>0</v>
      </c>
      <c r="T142" s="40">
        <f>+S142-R142</f>
        <v>0</v>
      </c>
      <c r="U142" s="42">
        <f>+ROUND(C142/$C$8*$U$8,2)</f>
        <v>0</v>
      </c>
      <c r="V142" s="19">
        <f>+ROUND(D142/$C$8*$U$8,2)</f>
        <v>0</v>
      </c>
      <c r="W142" s="44">
        <f>+V142-U142</f>
        <v>0</v>
      </c>
      <c r="X142" s="42">
        <f>+ROUND(C142/$C$8*$X$8,2)</f>
        <v>0</v>
      </c>
      <c r="Y142" s="19">
        <f>+ROUND(D142/$C$8*$X$8,2)</f>
        <v>0</v>
      </c>
      <c r="Z142" s="40">
        <f>+Y142-X142</f>
        <v>0</v>
      </c>
      <c r="AB142" s="45">
        <f t="shared" si="52"/>
        <v>0</v>
      </c>
    </row>
    <row r="143" spans="1:28" s="45" customFormat="1" ht="13.5" outlineLevel="1" collapsed="1">
      <c r="A143" s="46"/>
      <c r="B143" s="40" t="s">
        <v>56</v>
      </c>
      <c r="C143" s="52">
        <v>2102415.23</v>
      </c>
      <c r="D143" s="61">
        <f>3415715.85-D117-D113-D90-D83</f>
        <v>2015868.62</v>
      </c>
      <c r="E143" s="41">
        <f t="shared" si="53"/>
        <v>-86546.60999999987</v>
      </c>
      <c r="F143" s="43">
        <f t="shared" si="81"/>
        <v>670403.54</v>
      </c>
      <c r="G143" s="19">
        <f t="shared" si="81"/>
        <v>642806.1599999999</v>
      </c>
      <c r="H143" s="40">
        <f t="shared" si="55"/>
        <v>-27597.38000000012</v>
      </c>
      <c r="I143" s="43">
        <f t="shared" si="82"/>
        <v>217680.92</v>
      </c>
      <c r="J143" s="19">
        <f t="shared" si="82"/>
        <v>208720.01</v>
      </c>
      <c r="K143" s="40">
        <f t="shared" si="83"/>
        <v>-8960.910000000003</v>
      </c>
      <c r="L143" s="42">
        <f t="shared" si="84"/>
        <v>480634.09</v>
      </c>
      <c r="M143" s="19">
        <f t="shared" si="84"/>
        <v>460848.63</v>
      </c>
      <c r="N143" s="40">
        <f t="shared" si="57"/>
        <v>-19785.46000000002</v>
      </c>
      <c r="O143" s="42">
        <f t="shared" si="85"/>
        <v>226130.27</v>
      </c>
      <c r="P143" s="19">
        <f t="shared" si="85"/>
        <v>216821.55</v>
      </c>
      <c r="Q143" s="40">
        <f t="shared" si="58"/>
        <v>-9308.720000000001</v>
      </c>
      <c r="R143" s="42">
        <f t="shared" si="86"/>
        <v>141086.63</v>
      </c>
      <c r="S143" s="19">
        <f t="shared" si="86"/>
        <v>135278.75</v>
      </c>
      <c r="T143" s="40">
        <f t="shared" si="59"/>
        <v>-5807.880000000005</v>
      </c>
      <c r="U143" s="42">
        <f t="shared" si="87"/>
        <v>140910.6</v>
      </c>
      <c r="V143" s="19">
        <f t="shared" si="87"/>
        <v>135109.97</v>
      </c>
      <c r="W143" s="44">
        <f t="shared" si="60"/>
        <v>-5800.630000000005</v>
      </c>
      <c r="X143" s="42">
        <f t="shared" si="88"/>
        <v>225569.18</v>
      </c>
      <c r="Y143" s="19">
        <f t="shared" si="88"/>
        <v>216283.55</v>
      </c>
      <c r="Z143" s="40">
        <f t="shared" si="61"/>
        <v>-9285.630000000005</v>
      </c>
      <c r="AB143" s="45">
        <f t="shared" si="52"/>
        <v>0</v>
      </c>
    </row>
    <row r="144" spans="1:28" s="45" customFormat="1" ht="14.25" outlineLevel="1" thickBot="1">
      <c r="A144" s="97"/>
      <c r="B144" s="98" t="s">
        <v>57</v>
      </c>
      <c r="C144" s="52">
        <v>424687.88</v>
      </c>
      <c r="D144" s="217">
        <f>63603.26+501372.79+259.31+3025.4+18.64+1.18+18.64-D118-D114-D91-D84</f>
        <v>288329.77000000014</v>
      </c>
      <c r="E144" s="99">
        <f t="shared" si="53"/>
        <v>-136358.10999999987</v>
      </c>
      <c r="F144" s="102">
        <f t="shared" si="81"/>
        <v>135421.49999999997</v>
      </c>
      <c r="G144" s="101">
        <f t="shared" si="81"/>
        <v>91940.59000000016</v>
      </c>
      <c r="H144" s="98">
        <f t="shared" si="55"/>
        <v>-43480.909999999814</v>
      </c>
      <c r="I144" s="102">
        <f t="shared" si="82"/>
        <v>43971.55</v>
      </c>
      <c r="J144" s="101">
        <f t="shared" si="82"/>
        <v>29853.23</v>
      </c>
      <c r="K144" s="98">
        <f t="shared" si="83"/>
        <v>-14118.320000000003</v>
      </c>
      <c r="L144" s="100">
        <f t="shared" si="84"/>
        <v>97088.09</v>
      </c>
      <c r="M144" s="101">
        <f t="shared" si="84"/>
        <v>65915.2</v>
      </c>
      <c r="N144" s="98">
        <f t="shared" si="57"/>
        <v>-31172.89</v>
      </c>
      <c r="O144" s="100">
        <f t="shared" si="85"/>
        <v>45678.32</v>
      </c>
      <c r="P144" s="101">
        <f t="shared" si="85"/>
        <v>31011.99</v>
      </c>
      <c r="Q144" s="98">
        <f t="shared" si="58"/>
        <v>-14666.329999999998</v>
      </c>
      <c r="R144" s="100">
        <f t="shared" si="86"/>
        <v>28499.5</v>
      </c>
      <c r="S144" s="101">
        <f t="shared" si="86"/>
        <v>19348.93</v>
      </c>
      <c r="T144" s="98">
        <f t="shared" si="59"/>
        <v>-9150.57</v>
      </c>
      <c r="U144" s="100">
        <f t="shared" si="87"/>
        <v>28463.94</v>
      </c>
      <c r="V144" s="101">
        <f t="shared" si="87"/>
        <v>19324.78</v>
      </c>
      <c r="W144" s="103">
        <f t="shared" si="60"/>
        <v>-9139.16</v>
      </c>
      <c r="X144" s="100">
        <f t="shared" si="88"/>
        <v>45564.98</v>
      </c>
      <c r="Y144" s="101">
        <f t="shared" si="88"/>
        <v>30935.05</v>
      </c>
      <c r="Z144" s="98">
        <f t="shared" si="61"/>
        <v>-14629.930000000004</v>
      </c>
      <c r="AB144" s="45">
        <f t="shared" si="52"/>
        <v>0</v>
      </c>
    </row>
    <row r="145" spans="1:28" s="215" customFormat="1" ht="41.25" customHeight="1" outlineLevel="1" thickBot="1">
      <c r="A145" s="205">
        <v>5</v>
      </c>
      <c r="B145" s="206" t="s">
        <v>77</v>
      </c>
      <c r="C145" s="207">
        <f aca="true" t="shared" si="89" ref="C145:C153">+F145+I145+L145+O145+R145+U145+X145</f>
        <v>13266907.040000003</v>
      </c>
      <c r="D145" s="208">
        <f aca="true" t="shared" si="90" ref="D145:D153">+G145+J145+M145+P145+S145+V145+Y145</f>
        <v>11379522.94</v>
      </c>
      <c r="E145" s="209">
        <f aca="true" t="shared" si="91" ref="E145:E157">+D145-C145</f>
        <v>-1887384.1000000034</v>
      </c>
      <c r="F145" s="210">
        <f>SUM(F146:F149)</f>
        <v>4403941.050000001</v>
      </c>
      <c r="G145" s="208">
        <f>SUM(G146:G149)</f>
        <v>3350351</v>
      </c>
      <c r="H145" s="211">
        <f aca="true" t="shared" si="92" ref="H145:H157">+G145-F145</f>
        <v>-1053590.0500000007</v>
      </c>
      <c r="I145" s="212">
        <f>SUM(I146:I149)</f>
        <v>1427637.13</v>
      </c>
      <c r="J145" s="213">
        <f>SUM(J146:J149)</f>
        <v>1337827.3</v>
      </c>
      <c r="K145" s="211">
        <f t="shared" si="83"/>
        <v>-89809.82999999984</v>
      </c>
      <c r="L145" s="214">
        <f>SUM(L146:L149)</f>
        <v>2588945.74</v>
      </c>
      <c r="M145" s="213">
        <f>SUM(M146:M149)</f>
        <v>2436915.74</v>
      </c>
      <c r="N145" s="211">
        <f t="shared" si="57"/>
        <v>-152030</v>
      </c>
      <c r="O145" s="214">
        <f>SUM(O146:O149)</f>
        <v>1186047.12</v>
      </c>
      <c r="P145" s="213">
        <f>SUM(P146:P149)</f>
        <v>958542.0499999999</v>
      </c>
      <c r="Q145" s="211">
        <f t="shared" si="58"/>
        <v>-227505.07000000018</v>
      </c>
      <c r="R145" s="214">
        <f>SUM(R146:R149)</f>
        <v>957358.74</v>
      </c>
      <c r="S145" s="213">
        <f>SUM(S146:S149)</f>
        <v>898991.27</v>
      </c>
      <c r="T145" s="211">
        <f t="shared" si="59"/>
        <v>-58367.46999999997</v>
      </c>
      <c r="U145" s="214">
        <f>SUM(U146:U149)</f>
        <v>1140087.24</v>
      </c>
      <c r="V145" s="213">
        <f>SUM(V146:V149)</f>
        <v>1066529.92</v>
      </c>
      <c r="W145" s="211">
        <f t="shared" si="60"/>
        <v>-73557.32000000007</v>
      </c>
      <c r="X145" s="214">
        <f>SUM(X146:X149)</f>
        <v>1562890.02</v>
      </c>
      <c r="Y145" s="213">
        <f>SUM(Y146:Y149)</f>
        <v>1330365.66</v>
      </c>
      <c r="Z145" s="211">
        <f t="shared" si="61"/>
        <v>-232524.3600000001</v>
      </c>
      <c r="AB145" s="215">
        <f t="shared" si="52"/>
        <v>0</v>
      </c>
    </row>
    <row r="146" spans="1:26" s="197" customFormat="1" ht="13.5" outlineLevel="1">
      <c r="A146" s="121"/>
      <c r="B146" s="204" t="s">
        <v>8</v>
      </c>
      <c r="C146" s="203">
        <f t="shared" si="89"/>
        <v>1755355.85</v>
      </c>
      <c r="D146" s="118">
        <f t="shared" si="90"/>
        <v>1630045.51</v>
      </c>
      <c r="E146" s="120">
        <f t="shared" si="91"/>
        <v>-125310.34000000008</v>
      </c>
      <c r="F146" s="122">
        <v>525608.59</v>
      </c>
      <c r="G146" s="119">
        <v>462291.46</v>
      </c>
      <c r="H146" s="123">
        <f t="shared" si="92"/>
        <v>-63317.12999999995</v>
      </c>
      <c r="I146" s="122">
        <v>186032.78</v>
      </c>
      <c r="J146" s="119">
        <v>171403.21</v>
      </c>
      <c r="K146" s="123">
        <f t="shared" si="83"/>
        <v>-14629.570000000007</v>
      </c>
      <c r="L146" s="124">
        <v>370181.48</v>
      </c>
      <c r="M146" s="119">
        <v>355631.33</v>
      </c>
      <c r="N146" s="123">
        <f t="shared" si="57"/>
        <v>-14550.149999999965</v>
      </c>
      <c r="O146" s="124">
        <v>156944.77</v>
      </c>
      <c r="P146" s="119">
        <v>141237.37</v>
      </c>
      <c r="Q146" s="123">
        <f t="shared" si="58"/>
        <v>-15707.399999999994</v>
      </c>
      <c r="R146" s="124">
        <v>105209.63</v>
      </c>
      <c r="S146" s="119">
        <v>98117.33</v>
      </c>
      <c r="T146" s="123">
        <f t="shared" si="59"/>
        <v>-7092.300000000003</v>
      </c>
      <c r="U146" s="124">
        <v>202301.49</v>
      </c>
      <c r="V146" s="119">
        <v>209156.41</v>
      </c>
      <c r="W146" s="125">
        <f t="shared" si="60"/>
        <v>6854.920000000013</v>
      </c>
      <c r="X146" s="124">
        <v>209077.11</v>
      </c>
      <c r="Y146" s="119">
        <v>192208.4</v>
      </c>
      <c r="Z146" s="123">
        <f t="shared" si="61"/>
        <v>-16868.709999999992</v>
      </c>
    </row>
    <row r="147" spans="1:26" s="197" customFormat="1" ht="13.5" outlineLevel="1">
      <c r="A147" s="121"/>
      <c r="B147" s="204" t="s">
        <v>9</v>
      </c>
      <c r="C147" s="203">
        <f t="shared" si="89"/>
        <v>2000290.71</v>
      </c>
      <c r="D147" s="118">
        <f t="shared" si="90"/>
        <v>1904088.7299999997</v>
      </c>
      <c r="E147" s="120">
        <f t="shared" si="91"/>
        <v>-96201.98000000021</v>
      </c>
      <c r="F147" s="122">
        <v>631434.13</v>
      </c>
      <c r="G147" s="119">
        <v>655740.58</v>
      </c>
      <c r="H147" s="123">
        <f t="shared" si="92"/>
        <v>24306.449999999953</v>
      </c>
      <c r="I147" s="122">
        <v>205827.57</v>
      </c>
      <c r="J147" s="119">
        <v>195796.73</v>
      </c>
      <c r="K147" s="123">
        <f t="shared" si="83"/>
        <v>-10030.839999999997</v>
      </c>
      <c r="L147" s="124">
        <v>404661.83</v>
      </c>
      <c r="M147" s="119">
        <v>314205.72</v>
      </c>
      <c r="N147" s="123">
        <f t="shared" si="57"/>
        <v>-90456.11000000004</v>
      </c>
      <c r="O147" s="124">
        <v>171836.15</v>
      </c>
      <c r="P147" s="119">
        <v>169077.74</v>
      </c>
      <c r="Q147" s="123">
        <f t="shared" si="58"/>
        <v>-2758.4100000000035</v>
      </c>
      <c r="R147" s="124">
        <v>164342.78</v>
      </c>
      <c r="S147" s="119">
        <v>154412.34</v>
      </c>
      <c r="T147" s="123">
        <f t="shared" si="59"/>
        <v>-9930.440000000002</v>
      </c>
      <c r="U147" s="124">
        <v>186350.18</v>
      </c>
      <c r="V147" s="119">
        <v>179891.94</v>
      </c>
      <c r="W147" s="125">
        <f t="shared" si="60"/>
        <v>-6458.239999999991</v>
      </c>
      <c r="X147" s="124">
        <v>235838.07</v>
      </c>
      <c r="Y147" s="119">
        <v>234963.68</v>
      </c>
      <c r="Z147" s="123">
        <f t="shared" si="61"/>
        <v>-874.390000000014</v>
      </c>
    </row>
    <row r="148" spans="1:26" s="197" customFormat="1" ht="13.5" outlineLevel="1">
      <c r="A148" s="121"/>
      <c r="B148" s="204" t="s">
        <v>10</v>
      </c>
      <c r="C148" s="203">
        <f t="shared" si="89"/>
        <v>1451158.59</v>
      </c>
      <c r="D148" s="118">
        <f t="shared" si="90"/>
        <v>1377506.16</v>
      </c>
      <c r="E148" s="120">
        <f t="shared" si="91"/>
        <v>-73652.43000000017</v>
      </c>
      <c r="F148" s="122">
        <v>443429.63</v>
      </c>
      <c r="G148" s="119">
        <v>423524.72</v>
      </c>
      <c r="H148" s="123">
        <f t="shared" si="92"/>
        <v>-19904.910000000033</v>
      </c>
      <c r="I148" s="122">
        <v>152132.25</v>
      </c>
      <c r="J148" s="119">
        <v>143165.39</v>
      </c>
      <c r="K148" s="123">
        <f t="shared" si="83"/>
        <v>-8966.859999999986</v>
      </c>
      <c r="L148" s="124">
        <v>301202.28</v>
      </c>
      <c r="M148" s="119">
        <v>273715.58</v>
      </c>
      <c r="N148" s="123">
        <f t="shared" si="57"/>
        <v>-27486.70000000001</v>
      </c>
      <c r="O148" s="124">
        <v>127852.27</v>
      </c>
      <c r="P148" s="119">
        <v>120204.34</v>
      </c>
      <c r="Q148" s="123">
        <f t="shared" si="58"/>
        <v>-7647.930000000008</v>
      </c>
      <c r="R148" s="124">
        <v>99107.23</v>
      </c>
      <c r="S148" s="119">
        <v>92571.62</v>
      </c>
      <c r="T148" s="123">
        <f t="shared" si="59"/>
        <v>-6535.610000000001</v>
      </c>
      <c r="U148" s="124">
        <v>155232.17</v>
      </c>
      <c r="V148" s="119">
        <v>160764.45</v>
      </c>
      <c r="W148" s="125">
        <f t="shared" si="60"/>
        <v>5532.279999999999</v>
      </c>
      <c r="X148" s="124">
        <v>172202.76</v>
      </c>
      <c r="Y148" s="119">
        <v>163560.06</v>
      </c>
      <c r="Z148" s="123">
        <f t="shared" si="61"/>
        <v>-8642.700000000012</v>
      </c>
    </row>
    <row r="149" spans="1:26" s="197" customFormat="1" ht="14.25" outlineLevel="1" thickBot="1">
      <c r="A149" s="121"/>
      <c r="B149" s="204" t="s">
        <v>7</v>
      </c>
      <c r="C149" s="203">
        <f t="shared" si="89"/>
        <v>8060101.890000001</v>
      </c>
      <c r="D149" s="118">
        <f t="shared" si="90"/>
        <v>6467882.540000001</v>
      </c>
      <c r="E149" s="120">
        <f t="shared" si="91"/>
        <v>-1592219.3499999996</v>
      </c>
      <c r="F149" s="122">
        <v>2803468.7</v>
      </c>
      <c r="G149" s="119">
        <v>1808794.24</v>
      </c>
      <c r="H149" s="123">
        <f t="shared" si="92"/>
        <v>-994674.4600000002</v>
      </c>
      <c r="I149" s="122">
        <v>883644.53</v>
      </c>
      <c r="J149" s="119">
        <f>870367.47-42905.5</f>
        <v>827461.97</v>
      </c>
      <c r="K149" s="123">
        <f t="shared" si="83"/>
        <v>-56182.560000000056</v>
      </c>
      <c r="L149" s="124">
        <v>1512900.15</v>
      </c>
      <c r="M149" s="119">
        <v>1493363.11</v>
      </c>
      <c r="N149" s="123">
        <f t="shared" si="57"/>
        <v>-19537.039999999804</v>
      </c>
      <c r="O149" s="124">
        <v>729413.93</v>
      </c>
      <c r="P149" s="119">
        <v>528022.6</v>
      </c>
      <c r="Q149" s="123">
        <f t="shared" si="58"/>
        <v>-201391.33000000007</v>
      </c>
      <c r="R149" s="124">
        <v>588699.1</v>
      </c>
      <c r="S149" s="119">
        <v>553889.98</v>
      </c>
      <c r="T149" s="123">
        <f t="shared" si="59"/>
        <v>-34809.119999999995</v>
      </c>
      <c r="U149" s="124">
        <v>596203.4</v>
      </c>
      <c r="V149" s="119">
        <v>516717.12</v>
      </c>
      <c r="W149" s="125">
        <f t="shared" si="60"/>
        <v>-79486.28000000003</v>
      </c>
      <c r="X149" s="124">
        <v>945772.08</v>
      </c>
      <c r="Y149" s="119">
        <v>739633.52</v>
      </c>
      <c r="Z149" s="123">
        <f t="shared" si="61"/>
        <v>-206138.55999999994</v>
      </c>
    </row>
    <row r="150" spans="1:28" s="45" customFormat="1" ht="14.25" outlineLevel="1" thickBot="1">
      <c r="A150" s="135"/>
      <c r="B150" s="136" t="s">
        <v>6</v>
      </c>
      <c r="C150" s="137">
        <f t="shared" si="89"/>
        <v>248640</v>
      </c>
      <c r="D150" s="130">
        <f t="shared" si="90"/>
        <v>248640</v>
      </c>
      <c r="E150" s="139">
        <f t="shared" si="91"/>
        <v>0</v>
      </c>
      <c r="F150" s="140">
        <f>+(80)*12*108</f>
        <v>103680</v>
      </c>
      <c r="G150" s="141">
        <f>+F150</f>
        <v>103680</v>
      </c>
      <c r="H150" s="136">
        <f t="shared" si="92"/>
        <v>0</v>
      </c>
      <c r="I150" s="140">
        <f>+(80)*12*34</f>
        <v>32640</v>
      </c>
      <c r="J150" s="141">
        <f>+I150</f>
        <v>32640</v>
      </c>
      <c r="K150" s="136">
        <f aca="true" t="shared" si="93" ref="K150:K157">+J150-I150</f>
        <v>0</v>
      </c>
      <c r="L150" s="140">
        <f>+(80)*12*22</f>
        <v>21120</v>
      </c>
      <c r="M150" s="141">
        <f>+L150</f>
        <v>21120</v>
      </c>
      <c r="N150" s="136">
        <f aca="true" t="shared" si="94" ref="N150:N157">+M150-L150</f>
        <v>0</v>
      </c>
      <c r="O150" s="142">
        <f>(80)*19*12</f>
        <v>18240</v>
      </c>
      <c r="P150" s="141">
        <f>+O150</f>
        <v>18240</v>
      </c>
      <c r="Q150" s="136">
        <f aca="true" t="shared" si="95" ref="Q150:Q157">+P150-O150</f>
        <v>0</v>
      </c>
      <c r="R150" s="134">
        <f>23*(80)*12</f>
        <v>22080</v>
      </c>
      <c r="S150" s="133">
        <f>+R150</f>
        <v>22080</v>
      </c>
      <c r="T150" s="136">
        <f aca="true" t="shared" si="96" ref="T150:T157">+S150-R150</f>
        <v>0</v>
      </c>
      <c r="U150" s="142">
        <f>25*(80)*12</f>
        <v>24000</v>
      </c>
      <c r="V150" s="141">
        <f>+U150</f>
        <v>24000</v>
      </c>
      <c r="W150" s="143">
        <f aca="true" t="shared" si="97" ref="W150:W157">+V150-U150</f>
        <v>0</v>
      </c>
      <c r="X150" s="142">
        <f>28*(80)*12</f>
        <v>26880</v>
      </c>
      <c r="Y150" s="141">
        <f>+X150</f>
        <v>26880</v>
      </c>
      <c r="Z150" s="136">
        <f aca="true" t="shared" si="98" ref="Z150:Z157">+Y150-X150</f>
        <v>0</v>
      </c>
      <c r="AB150" s="45">
        <f aca="true" t="shared" si="99" ref="AB150:AB164">+C150-F150-I150-L150-O150-R150-U150-X150</f>
        <v>0</v>
      </c>
    </row>
    <row r="151" spans="1:28" s="45" customFormat="1" ht="14.25" outlineLevel="1" thickBot="1">
      <c r="A151" s="135"/>
      <c r="B151" s="136" t="s">
        <v>100</v>
      </c>
      <c r="C151" s="137">
        <f t="shared" si="89"/>
        <v>45249.17</v>
      </c>
      <c r="D151" s="130">
        <f t="shared" si="90"/>
        <v>45249.17</v>
      </c>
      <c r="E151" s="139">
        <f t="shared" si="91"/>
        <v>0</v>
      </c>
      <c r="F151" s="140">
        <f>+G151</f>
        <v>3538.2</v>
      </c>
      <c r="G151" s="141">
        <v>3538.2</v>
      </c>
      <c r="H151" s="136">
        <f t="shared" si="92"/>
        <v>0</v>
      </c>
      <c r="I151" s="140">
        <f>+J151</f>
        <v>13062.1</v>
      </c>
      <c r="J151" s="141">
        <v>13062.1</v>
      </c>
      <c r="K151" s="136">
        <f t="shared" si="93"/>
        <v>0</v>
      </c>
      <c r="L151" s="142">
        <f>+M151</f>
        <v>13465.35</v>
      </c>
      <c r="M151" s="141">
        <v>13465.35</v>
      </c>
      <c r="N151" s="136">
        <f t="shared" si="94"/>
        <v>0</v>
      </c>
      <c r="O151" s="142">
        <f>+P151</f>
        <v>5487.46</v>
      </c>
      <c r="P151" s="141">
        <v>5487.46</v>
      </c>
      <c r="Q151" s="136">
        <f t="shared" si="95"/>
        <v>0</v>
      </c>
      <c r="R151" s="142">
        <f>+S151</f>
        <v>1851.96</v>
      </c>
      <c r="S151" s="141">
        <v>1851.96</v>
      </c>
      <c r="T151" s="136">
        <f t="shared" si="96"/>
        <v>0</v>
      </c>
      <c r="U151" s="142">
        <f>+V151</f>
        <v>7444.49</v>
      </c>
      <c r="V151" s="141">
        <v>7444.49</v>
      </c>
      <c r="W151" s="136">
        <f t="shared" si="97"/>
        <v>0</v>
      </c>
      <c r="X151" s="142">
        <f>+Y151</f>
        <v>399.61</v>
      </c>
      <c r="Y151" s="141">
        <v>399.61</v>
      </c>
      <c r="Z151" s="136">
        <f t="shared" si="98"/>
        <v>0</v>
      </c>
      <c r="AB151" s="198">
        <f t="shared" si="99"/>
        <v>1.4779288903810084E-12</v>
      </c>
    </row>
    <row r="152" spans="1:28" s="45" customFormat="1" ht="27" outlineLevel="1" thickBot="1">
      <c r="A152" s="135"/>
      <c r="B152" s="144" t="s">
        <v>110</v>
      </c>
      <c r="C152" s="137">
        <f t="shared" si="89"/>
        <v>56000</v>
      </c>
      <c r="D152" s="130">
        <f t="shared" si="90"/>
        <v>56000</v>
      </c>
      <c r="E152" s="139">
        <f t="shared" si="91"/>
        <v>0</v>
      </c>
      <c r="F152" s="140">
        <f>+G152</f>
        <v>24000</v>
      </c>
      <c r="G152" s="141">
        <f>3000*8</f>
        <v>24000</v>
      </c>
      <c r="H152" s="136">
        <f t="shared" si="92"/>
        <v>0</v>
      </c>
      <c r="I152" s="140">
        <f>+J152</f>
        <v>8000</v>
      </c>
      <c r="J152" s="141">
        <f>1000*8</f>
        <v>8000</v>
      </c>
      <c r="K152" s="136">
        <f t="shared" si="93"/>
        <v>0</v>
      </c>
      <c r="L152" s="140"/>
      <c r="M152" s="141"/>
      <c r="N152" s="136">
        <f t="shared" si="94"/>
        <v>0</v>
      </c>
      <c r="O152" s="140">
        <f>+P152</f>
        <v>8000</v>
      </c>
      <c r="P152" s="141">
        <f>1000*8</f>
        <v>8000</v>
      </c>
      <c r="Q152" s="136">
        <f t="shared" si="95"/>
        <v>0</v>
      </c>
      <c r="R152" s="140">
        <f>+S152</f>
        <v>8000</v>
      </c>
      <c r="S152" s="141">
        <v>8000</v>
      </c>
      <c r="T152" s="136">
        <f t="shared" si="96"/>
        <v>0</v>
      </c>
      <c r="U152" s="142"/>
      <c r="V152" s="141"/>
      <c r="W152" s="136">
        <f t="shared" si="97"/>
        <v>0</v>
      </c>
      <c r="X152" s="142">
        <f>+Y152</f>
        <v>8000</v>
      </c>
      <c r="Y152" s="141">
        <v>8000</v>
      </c>
      <c r="Z152" s="136">
        <f t="shared" si="98"/>
        <v>0</v>
      </c>
      <c r="AB152" s="45">
        <f t="shared" si="99"/>
        <v>0</v>
      </c>
    </row>
    <row r="153" spans="1:28" s="197" customFormat="1" ht="14.25" outlineLevel="1" thickBot="1">
      <c r="A153" s="128"/>
      <c r="B153" s="129" t="s">
        <v>116</v>
      </c>
      <c r="C153" s="201">
        <f t="shared" si="89"/>
        <v>62400</v>
      </c>
      <c r="D153" s="130">
        <f t="shared" si="90"/>
        <v>62400</v>
      </c>
      <c r="E153" s="131">
        <f t="shared" si="91"/>
        <v>0</v>
      </c>
      <c r="F153" s="132">
        <f>1300*3*12</f>
        <v>46800</v>
      </c>
      <c r="G153" s="133">
        <f>+F153</f>
        <v>46800</v>
      </c>
      <c r="H153" s="129">
        <f t="shared" si="92"/>
        <v>0</v>
      </c>
      <c r="I153" s="132">
        <f>1300*12</f>
        <v>15600</v>
      </c>
      <c r="J153" s="133">
        <f>+I153</f>
        <v>15600</v>
      </c>
      <c r="K153" s="129">
        <f t="shared" si="93"/>
        <v>0</v>
      </c>
      <c r="L153" s="134"/>
      <c r="M153" s="133"/>
      <c r="N153" s="129">
        <f t="shared" si="94"/>
        <v>0</v>
      </c>
      <c r="O153" s="134"/>
      <c r="P153" s="133"/>
      <c r="Q153" s="129">
        <f t="shared" si="95"/>
        <v>0</v>
      </c>
      <c r="R153" s="134"/>
      <c r="S153" s="133"/>
      <c r="T153" s="129">
        <f t="shared" si="96"/>
        <v>0</v>
      </c>
      <c r="U153" s="134"/>
      <c r="V153" s="133"/>
      <c r="W153" s="129">
        <f t="shared" si="97"/>
        <v>0</v>
      </c>
      <c r="X153" s="134"/>
      <c r="Y153" s="133"/>
      <c r="Z153" s="129">
        <f t="shared" si="98"/>
        <v>0</v>
      </c>
      <c r="AB153" s="197">
        <f t="shared" si="99"/>
        <v>0</v>
      </c>
    </row>
    <row r="154" spans="1:28" s="45" customFormat="1" ht="27" outlineLevel="1" thickBot="1">
      <c r="A154" s="135"/>
      <c r="B154" s="145" t="s">
        <v>120</v>
      </c>
      <c r="C154" s="201">
        <f aca="true" t="shared" si="100" ref="C154:D156">+F154+I154+L154+O154+R154+U154+X154</f>
        <v>140300</v>
      </c>
      <c r="D154" s="130">
        <f t="shared" si="100"/>
        <v>347150</v>
      </c>
      <c r="E154" s="139">
        <f t="shared" si="91"/>
        <v>206850</v>
      </c>
      <c r="F154" s="140">
        <v>14400</v>
      </c>
      <c r="G154" s="141">
        <f>92300</f>
        <v>92300</v>
      </c>
      <c r="H154" s="136">
        <f t="shared" si="92"/>
        <v>77900</v>
      </c>
      <c r="I154" s="140">
        <v>8300</v>
      </c>
      <c r="J154" s="141">
        <f>14400+4800*11+4800*6</f>
        <v>96000</v>
      </c>
      <c r="K154" s="136">
        <f t="shared" si="93"/>
        <v>87700</v>
      </c>
      <c r="L154" s="142">
        <v>4800</v>
      </c>
      <c r="M154" s="141">
        <f>9600+4800*5+7200+3500</f>
        <v>44300</v>
      </c>
      <c r="N154" s="136">
        <f t="shared" si="94"/>
        <v>39500</v>
      </c>
      <c r="O154" s="142">
        <v>24000</v>
      </c>
      <c r="P154" s="141">
        <f>4800*2+7200*3+4800*2+1750</f>
        <v>42550</v>
      </c>
      <c r="Q154" s="136">
        <f t="shared" si="95"/>
        <v>18550</v>
      </c>
      <c r="R154" s="142">
        <v>24000</v>
      </c>
      <c r="S154" s="141">
        <f>4800*3</f>
        <v>14400</v>
      </c>
      <c r="T154" s="136">
        <f t="shared" si="96"/>
        <v>-9600</v>
      </c>
      <c r="U154" s="142">
        <v>43200</v>
      </c>
      <c r="V154" s="141"/>
      <c r="W154" s="136">
        <f t="shared" si="97"/>
        <v>-43200</v>
      </c>
      <c r="X154" s="142">
        <v>21600</v>
      </c>
      <c r="Y154" s="141">
        <f>4800*4+7200+4800*5+7200</f>
        <v>57600</v>
      </c>
      <c r="Z154" s="136">
        <f t="shared" si="98"/>
        <v>36000</v>
      </c>
      <c r="AB154" s="45">
        <f t="shared" si="99"/>
        <v>0</v>
      </c>
    </row>
    <row r="155" spans="1:28" s="45" customFormat="1" ht="27" hidden="1" outlineLevel="2" thickBot="1">
      <c r="A155" s="135"/>
      <c r="B155" s="145" t="s">
        <v>125</v>
      </c>
      <c r="C155" s="137">
        <f t="shared" si="100"/>
        <v>0</v>
      </c>
      <c r="D155" s="138">
        <f t="shared" si="100"/>
        <v>0</v>
      </c>
      <c r="E155" s="139">
        <f t="shared" si="91"/>
        <v>0</v>
      </c>
      <c r="F155" s="140"/>
      <c r="G155" s="141"/>
      <c r="H155" s="136"/>
      <c r="I155" s="140"/>
      <c r="J155" s="141"/>
      <c r="K155" s="136"/>
      <c r="L155" s="142"/>
      <c r="M155" s="141"/>
      <c r="N155" s="136">
        <f t="shared" si="94"/>
        <v>0</v>
      </c>
      <c r="O155" s="142"/>
      <c r="P155" s="141"/>
      <c r="Q155" s="136">
        <f t="shared" si="95"/>
        <v>0</v>
      </c>
      <c r="R155" s="142"/>
      <c r="S155" s="141"/>
      <c r="T155" s="136">
        <f t="shared" si="96"/>
        <v>0</v>
      </c>
      <c r="U155" s="142"/>
      <c r="V155" s="141"/>
      <c r="W155" s="136">
        <f t="shared" si="97"/>
        <v>0</v>
      </c>
      <c r="X155" s="142"/>
      <c r="Y155" s="141"/>
      <c r="Z155" s="136">
        <f t="shared" si="98"/>
        <v>0</v>
      </c>
      <c r="AB155" s="45">
        <f t="shared" si="99"/>
        <v>0</v>
      </c>
    </row>
    <row r="156" spans="1:28" s="45" customFormat="1" ht="27" hidden="1" outlineLevel="2" thickBot="1">
      <c r="A156" s="135"/>
      <c r="B156" s="145" t="s">
        <v>119</v>
      </c>
      <c r="C156" s="137">
        <f t="shared" si="100"/>
        <v>0</v>
      </c>
      <c r="D156" s="138">
        <f t="shared" si="100"/>
        <v>0</v>
      </c>
      <c r="E156" s="139">
        <f t="shared" si="91"/>
        <v>0</v>
      </c>
      <c r="F156" s="140">
        <f>+G156</f>
        <v>0</v>
      </c>
      <c r="G156" s="141"/>
      <c r="H156" s="136">
        <f t="shared" si="92"/>
        <v>0</v>
      </c>
      <c r="I156" s="140"/>
      <c r="J156" s="141"/>
      <c r="K156" s="136">
        <f t="shared" si="93"/>
        <v>0</v>
      </c>
      <c r="L156" s="142"/>
      <c r="M156" s="141"/>
      <c r="N156" s="136">
        <f t="shared" si="94"/>
        <v>0</v>
      </c>
      <c r="O156" s="142"/>
      <c r="P156" s="141"/>
      <c r="Q156" s="136">
        <f t="shared" si="95"/>
        <v>0</v>
      </c>
      <c r="R156" s="142"/>
      <c r="S156" s="141"/>
      <c r="T156" s="136">
        <f t="shared" si="96"/>
        <v>0</v>
      </c>
      <c r="U156" s="142"/>
      <c r="V156" s="141"/>
      <c r="W156" s="143">
        <f t="shared" si="97"/>
        <v>0</v>
      </c>
      <c r="X156" s="142"/>
      <c r="Y156" s="141"/>
      <c r="Z156" s="136">
        <f t="shared" si="98"/>
        <v>0</v>
      </c>
      <c r="AB156" s="45">
        <f t="shared" si="99"/>
        <v>0</v>
      </c>
    </row>
    <row r="157" spans="1:28" s="45" customFormat="1" ht="14.25" outlineLevel="1" collapsed="1" thickBot="1">
      <c r="A157" s="135" t="s">
        <v>69</v>
      </c>
      <c r="B157" s="136" t="s">
        <v>115</v>
      </c>
      <c r="C157" s="137">
        <f>+F157+I157+L157+O157+R157+U157+X157</f>
        <v>572869.6399999999</v>
      </c>
      <c r="D157" s="130">
        <f>+G157+J157+M157+P157+S157+V157+Y157</f>
        <v>576352.5499999999</v>
      </c>
      <c r="E157" s="139">
        <f t="shared" si="91"/>
        <v>3482.9100000000326</v>
      </c>
      <c r="F157" s="140">
        <v>305069.16</v>
      </c>
      <c r="G157" s="141">
        <v>308552.07</v>
      </c>
      <c r="H157" s="136">
        <f t="shared" si="92"/>
        <v>3482.9100000000326</v>
      </c>
      <c r="I157" s="140">
        <f>+J157</f>
        <v>98653.54</v>
      </c>
      <c r="J157" s="141">
        <f>40282.59+58370.95</f>
        <v>98653.54</v>
      </c>
      <c r="K157" s="136">
        <f t="shared" si="93"/>
        <v>0</v>
      </c>
      <c r="L157" s="142">
        <f>+M157</f>
        <v>33921.49</v>
      </c>
      <c r="M157" s="141">
        <v>33921.49</v>
      </c>
      <c r="N157" s="136">
        <f t="shared" si="94"/>
        <v>0</v>
      </c>
      <c r="O157" s="142">
        <f>+P157</f>
        <v>15200.91</v>
      </c>
      <c r="P157" s="141">
        <v>15200.91</v>
      </c>
      <c r="Q157" s="136">
        <f t="shared" si="95"/>
        <v>0</v>
      </c>
      <c r="R157" s="142">
        <f>+S157</f>
        <v>12657.22</v>
      </c>
      <c r="S157" s="141">
        <v>12657.22</v>
      </c>
      <c r="T157" s="136">
        <f t="shared" si="96"/>
        <v>0</v>
      </c>
      <c r="U157" s="142">
        <f>+V157</f>
        <v>84551.29000000001</v>
      </c>
      <c r="V157" s="141">
        <f>14969+38135.16+31447.13</f>
        <v>84551.29000000001</v>
      </c>
      <c r="W157" s="143">
        <f t="shared" si="97"/>
        <v>0</v>
      </c>
      <c r="X157" s="142">
        <f>+Y157</f>
        <v>22816.03</v>
      </c>
      <c r="Y157" s="141">
        <v>22816.03</v>
      </c>
      <c r="Z157" s="136">
        <f t="shared" si="98"/>
        <v>0</v>
      </c>
      <c r="AB157" s="45">
        <f t="shared" si="99"/>
        <v>-5.820766091346741E-11</v>
      </c>
    </row>
    <row r="158" spans="1:28" s="196" customFormat="1" ht="15.75" outlineLevel="1">
      <c r="A158" s="77">
        <v>6</v>
      </c>
      <c r="B158" s="80" t="s">
        <v>63</v>
      </c>
      <c r="C158" s="65">
        <f>SUM(C159:C164)</f>
        <v>3446816</v>
      </c>
      <c r="D158" s="79">
        <f>SUM(D159:D164)</f>
        <v>4640098</v>
      </c>
      <c r="E158" s="80">
        <f t="shared" si="53"/>
        <v>1193282</v>
      </c>
      <c r="F158" s="83">
        <f aca="true" t="shared" si="101" ref="F158:Y158">SUM(F159:F164)</f>
        <v>186760</v>
      </c>
      <c r="G158" s="82">
        <f t="shared" si="101"/>
        <v>608168</v>
      </c>
      <c r="H158" s="80">
        <f t="shared" si="55"/>
        <v>421408</v>
      </c>
      <c r="I158" s="83">
        <f t="shared" si="101"/>
        <v>0</v>
      </c>
      <c r="J158" s="82">
        <f t="shared" si="101"/>
        <v>222144</v>
      </c>
      <c r="K158" s="80">
        <f t="shared" si="101"/>
        <v>222144</v>
      </c>
      <c r="L158" s="81">
        <f t="shared" si="101"/>
        <v>703126</v>
      </c>
      <c r="M158" s="82">
        <f t="shared" si="101"/>
        <v>703126</v>
      </c>
      <c r="N158" s="80">
        <f t="shared" si="57"/>
        <v>0</v>
      </c>
      <c r="O158" s="81">
        <f t="shared" si="101"/>
        <v>1501690</v>
      </c>
      <c r="P158" s="82">
        <f t="shared" si="101"/>
        <v>1501690</v>
      </c>
      <c r="Q158" s="80">
        <f t="shared" si="58"/>
        <v>0</v>
      </c>
      <c r="R158" s="81">
        <f t="shared" si="101"/>
        <v>0</v>
      </c>
      <c r="S158" s="82">
        <f t="shared" si="101"/>
        <v>274865</v>
      </c>
      <c r="T158" s="80">
        <f t="shared" si="59"/>
        <v>274865</v>
      </c>
      <c r="U158" s="81">
        <f t="shared" si="101"/>
        <v>1055240</v>
      </c>
      <c r="V158" s="82">
        <f t="shared" si="101"/>
        <v>1055240</v>
      </c>
      <c r="W158" s="84">
        <f t="shared" si="60"/>
        <v>0</v>
      </c>
      <c r="X158" s="81">
        <f t="shared" si="101"/>
        <v>0</v>
      </c>
      <c r="Y158" s="82">
        <f t="shared" si="101"/>
        <v>274865</v>
      </c>
      <c r="Z158" s="80">
        <f t="shared" si="61"/>
        <v>274865</v>
      </c>
      <c r="AB158" s="196">
        <f t="shared" si="99"/>
        <v>0</v>
      </c>
    </row>
    <row r="159" spans="1:28" s="45" customFormat="1" ht="13.5" outlineLevel="1">
      <c r="A159" s="46"/>
      <c r="B159" s="94" t="s">
        <v>27</v>
      </c>
      <c r="C159" s="52">
        <f aca="true" t="shared" si="102" ref="C159:D164">+F159+I159+L159+O159+R159+U159+X159</f>
        <v>1501690</v>
      </c>
      <c r="D159" s="61">
        <f t="shared" si="102"/>
        <v>1501690</v>
      </c>
      <c r="E159" s="41">
        <f t="shared" si="53"/>
        <v>0</v>
      </c>
      <c r="F159" s="43"/>
      <c r="G159" s="19"/>
      <c r="H159" s="40">
        <f t="shared" si="55"/>
        <v>0</v>
      </c>
      <c r="I159" s="43">
        <f>+J159</f>
        <v>0</v>
      </c>
      <c r="J159" s="19"/>
      <c r="K159" s="40">
        <f aca="true" t="shared" si="103" ref="K159:K165">+J159-I159</f>
        <v>0</v>
      </c>
      <c r="L159" s="42"/>
      <c r="M159" s="19"/>
      <c r="N159" s="40">
        <f t="shared" si="57"/>
        <v>0</v>
      </c>
      <c r="O159" s="42">
        <v>1501690</v>
      </c>
      <c r="P159" s="19">
        <f>+O159</f>
        <v>1501690</v>
      </c>
      <c r="Q159" s="40">
        <f t="shared" si="58"/>
        <v>0</v>
      </c>
      <c r="R159" s="42"/>
      <c r="S159" s="19">
        <f>+R159</f>
        <v>0</v>
      </c>
      <c r="T159" s="40">
        <f t="shared" si="59"/>
        <v>0</v>
      </c>
      <c r="U159" s="42"/>
      <c r="V159" s="19">
        <f>+U159</f>
        <v>0</v>
      </c>
      <c r="W159" s="44">
        <f t="shared" si="60"/>
        <v>0</v>
      </c>
      <c r="X159" s="42"/>
      <c r="Y159" s="19"/>
      <c r="Z159" s="40">
        <f t="shared" si="61"/>
        <v>0</v>
      </c>
      <c r="AB159" s="45">
        <f t="shared" si="99"/>
        <v>0</v>
      </c>
    </row>
    <row r="160" spans="1:28" s="45" customFormat="1" ht="13.5" outlineLevel="1">
      <c r="A160" s="46"/>
      <c r="B160" s="94" t="s">
        <v>28</v>
      </c>
      <c r="C160" s="52">
        <f t="shared" si="102"/>
        <v>864553</v>
      </c>
      <c r="D160" s="61">
        <f t="shared" si="102"/>
        <v>864553</v>
      </c>
      <c r="E160" s="41">
        <f t="shared" si="53"/>
        <v>0</v>
      </c>
      <c r="F160" s="43"/>
      <c r="G160" s="19"/>
      <c r="H160" s="40">
        <f t="shared" si="55"/>
        <v>0</v>
      </c>
      <c r="I160" s="43"/>
      <c r="J160" s="19"/>
      <c r="K160" s="40">
        <f t="shared" si="103"/>
        <v>0</v>
      </c>
      <c r="L160" s="42"/>
      <c r="M160" s="19">
        <f>+L160</f>
        <v>0</v>
      </c>
      <c r="N160" s="40">
        <f t="shared" si="57"/>
        <v>0</v>
      </c>
      <c r="O160" s="42"/>
      <c r="P160" s="19"/>
      <c r="Q160" s="40">
        <f t="shared" si="58"/>
        <v>0</v>
      </c>
      <c r="R160" s="42"/>
      <c r="S160" s="19"/>
      <c r="T160" s="40">
        <f t="shared" si="59"/>
        <v>0</v>
      </c>
      <c r="U160" s="42">
        <v>864553</v>
      </c>
      <c r="V160" s="19">
        <f>+U160</f>
        <v>864553</v>
      </c>
      <c r="W160" s="44">
        <f t="shared" si="60"/>
        <v>0</v>
      </c>
      <c r="X160" s="42"/>
      <c r="Y160" s="19"/>
      <c r="Z160" s="40">
        <f t="shared" si="61"/>
        <v>0</v>
      </c>
      <c r="AB160" s="45">
        <f t="shared" si="99"/>
        <v>0</v>
      </c>
    </row>
    <row r="161" spans="1:26" s="45" customFormat="1" ht="26.25" outlineLevel="1">
      <c r="A161" s="46"/>
      <c r="B161" s="29" t="s">
        <v>156</v>
      </c>
      <c r="C161" s="52">
        <f>+F161+I161+L161+O161+R161+U161+X161</f>
        <v>703126</v>
      </c>
      <c r="D161" s="61">
        <f>+G161+J161+M161+P161+S161+V161+Y161</f>
        <v>703126</v>
      </c>
      <c r="E161" s="41">
        <f>+D161-C161</f>
        <v>0</v>
      </c>
      <c r="F161" s="43"/>
      <c r="G161" s="19"/>
      <c r="H161" s="40"/>
      <c r="I161" s="43"/>
      <c r="J161" s="19"/>
      <c r="K161" s="40"/>
      <c r="L161" s="42">
        <v>703126</v>
      </c>
      <c r="M161" s="19">
        <f>+L161</f>
        <v>703126</v>
      </c>
      <c r="N161" s="40">
        <f t="shared" si="57"/>
        <v>0</v>
      </c>
      <c r="O161" s="42"/>
      <c r="P161" s="19"/>
      <c r="Q161" s="40"/>
      <c r="R161" s="42"/>
      <c r="S161" s="19"/>
      <c r="T161" s="40"/>
      <c r="U161" s="42"/>
      <c r="V161" s="19"/>
      <c r="W161" s="44"/>
      <c r="X161" s="42"/>
      <c r="Y161" s="19"/>
      <c r="Z161" s="40"/>
    </row>
    <row r="162" spans="1:28" s="45" customFormat="1" ht="13.5" outlineLevel="1">
      <c r="A162" s="46"/>
      <c r="B162" s="94" t="s">
        <v>29</v>
      </c>
      <c r="C162" s="52">
        <f t="shared" si="102"/>
        <v>0</v>
      </c>
      <c r="D162" s="61">
        <f t="shared" si="102"/>
        <v>0</v>
      </c>
      <c r="E162" s="41">
        <f t="shared" si="53"/>
        <v>0</v>
      </c>
      <c r="F162" s="43"/>
      <c r="G162" s="19"/>
      <c r="H162" s="40">
        <f t="shared" si="55"/>
        <v>0</v>
      </c>
      <c r="I162" s="43"/>
      <c r="J162" s="19"/>
      <c r="K162" s="40">
        <f t="shared" si="103"/>
        <v>0</v>
      </c>
      <c r="L162" s="42"/>
      <c r="M162" s="19">
        <f>+L162</f>
        <v>0</v>
      </c>
      <c r="N162" s="40">
        <f t="shared" si="57"/>
        <v>0</v>
      </c>
      <c r="O162" s="42"/>
      <c r="P162" s="19">
        <f>+O162</f>
        <v>0</v>
      </c>
      <c r="Q162" s="40">
        <f t="shared" si="58"/>
        <v>0</v>
      </c>
      <c r="R162" s="42"/>
      <c r="S162" s="19">
        <f>+R162</f>
        <v>0</v>
      </c>
      <c r="T162" s="40">
        <f t="shared" si="59"/>
        <v>0</v>
      </c>
      <c r="U162" s="42"/>
      <c r="V162" s="19">
        <f>+U162</f>
        <v>0</v>
      </c>
      <c r="W162" s="44">
        <f t="shared" si="60"/>
        <v>0</v>
      </c>
      <c r="X162" s="42"/>
      <c r="Y162" s="19">
        <f>+X162</f>
        <v>0</v>
      </c>
      <c r="Z162" s="40">
        <f t="shared" si="61"/>
        <v>0</v>
      </c>
      <c r="AB162" s="45">
        <f t="shared" si="99"/>
        <v>0</v>
      </c>
    </row>
    <row r="163" spans="1:28" s="45" customFormat="1" ht="13.5" outlineLevel="1">
      <c r="A163" s="46"/>
      <c r="B163" s="94" t="s">
        <v>104</v>
      </c>
      <c r="C163" s="52">
        <f t="shared" si="102"/>
        <v>186760</v>
      </c>
      <c r="D163" s="118">
        <f t="shared" si="102"/>
        <v>373520</v>
      </c>
      <c r="E163" s="41">
        <f t="shared" si="53"/>
        <v>186760</v>
      </c>
      <c r="F163" s="43">
        <f>+G163/2</f>
        <v>186760</v>
      </c>
      <c r="G163" s="19">
        <v>373520</v>
      </c>
      <c r="H163" s="40">
        <f t="shared" si="55"/>
        <v>186760</v>
      </c>
      <c r="I163" s="43"/>
      <c r="J163" s="19"/>
      <c r="K163" s="40">
        <f t="shared" si="103"/>
        <v>0</v>
      </c>
      <c r="L163" s="42"/>
      <c r="M163" s="19"/>
      <c r="N163" s="40">
        <f t="shared" si="57"/>
        <v>0</v>
      </c>
      <c r="O163" s="42"/>
      <c r="P163" s="19"/>
      <c r="Q163" s="40">
        <f t="shared" si="58"/>
        <v>0</v>
      </c>
      <c r="R163" s="42"/>
      <c r="S163" s="19"/>
      <c r="T163" s="40">
        <f t="shared" si="59"/>
        <v>0</v>
      </c>
      <c r="U163" s="42"/>
      <c r="V163" s="19"/>
      <c r="W163" s="44">
        <f t="shared" si="60"/>
        <v>0</v>
      </c>
      <c r="X163" s="42"/>
      <c r="Y163" s="19"/>
      <c r="Z163" s="40">
        <f t="shared" si="61"/>
        <v>0</v>
      </c>
      <c r="AB163" s="45">
        <f t="shared" si="99"/>
        <v>0</v>
      </c>
    </row>
    <row r="164" spans="1:28" s="45" customFormat="1" ht="13.5" customHeight="1" outlineLevel="1" thickBot="1">
      <c r="A164" s="46"/>
      <c r="B164" s="94" t="s">
        <v>30</v>
      </c>
      <c r="C164" s="52">
        <f t="shared" si="102"/>
        <v>190687</v>
      </c>
      <c r="D164" s="118">
        <f t="shared" si="102"/>
        <v>1197209</v>
      </c>
      <c r="E164" s="41">
        <f t="shared" si="53"/>
        <v>1006522</v>
      </c>
      <c r="F164" s="43"/>
      <c r="G164" s="19">
        <v>234648</v>
      </c>
      <c r="H164" s="40">
        <f t="shared" si="55"/>
        <v>234648</v>
      </c>
      <c r="I164" s="43">
        <f>+I18</f>
        <v>0</v>
      </c>
      <c r="J164" s="19">
        <v>222144</v>
      </c>
      <c r="K164" s="40">
        <f t="shared" si="103"/>
        <v>222144</v>
      </c>
      <c r="L164" s="42">
        <f>+L18</f>
        <v>0</v>
      </c>
      <c r="M164" s="19">
        <f>+M18</f>
        <v>0</v>
      </c>
      <c r="N164" s="40">
        <f t="shared" si="57"/>
        <v>0</v>
      </c>
      <c r="O164" s="42">
        <f>+O18</f>
        <v>0</v>
      </c>
      <c r="P164" s="19">
        <f>+P18</f>
        <v>0</v>
      </c>
      <c r="Q164" s="40">
        <f t="shared" si="58"/>
        <v>0</v>
      </c>
      <c r="R164" s="42">
        <f>+R18</f>
        <v>0</v>
      </c>
      <c r="S164" s="19">
        <v>274865</v>
      </c>
      <c r="T164" s="40">
        <f t="shared" si="59"/>
        <v>274865</v>
      </c>
      <c r="U164" s="42">
        <f>+U18</f>
        <v>190687</v>
      </c>
      <c r="V164" s="19">
        <v>190687</v>
      </c>
      <c r="W164" s="44">
        <f t="shared" si="60"/>
        <v>0</v>
      </c>
      <c r="X164" s="42">
        <f>+X18</f>
        <v>0</v>
      </c>
      <c r="Y164" s="19">
        <v>274865</v>
      </c>
      <c r="Z164" s="40">
        <f t="shared" si="61"/>
        <v>274865</v>
      </c>
      <c r="AB164" s="45">
        <f t="shared" si="99"/>
        <v>0</v>
      </c>
    </row>
    <row r="165" spans="1:28" s="199" customFormat="1" ht="18" outlineLevel="1" thickBot="1">
      <c r="A165" s="104"/>
      <c r="B165" s="105" t="s">
        <v>72</v>
      </c>
      <c r="C165" s="106">
        <f>+C158+C119+C115+C110+C77+C145+C150+C151+C152+C153+C154+C156+C157+C155</f>
        <v>26617004.490000006</v>
      </c>
      <c r="D165" s="106">
        <f>+D158+D119+D115+D110+D77+D145+D150+D151+D152+D153+D154+D156+D157</f>
        <v>26508622.17</v>
      </c>
      <c r="E165" s="107">
        <f t="shared" si="53"/>
        <v>-108382.32000000402</v>
      </c>
      <c r="F165" s="110">
        <f>+F158+F119+F115+F110+F77+F145+F150+F151+F152+F153+F154+F156+F157+F155</f>
        <v>8141384.910000001</v>
      </c>
      <c r="G165" s="109">
        <f>+G158+G119+G115+G110+G77+G145+G150+G151+G152+G153+G154+G156+G157</f>
        <v>7585007.070000001</v>
      </c>
      <c r="H165" s="105">
        <f>+G165-F165</f>
        <v>-556377.8399999999</v>
      </c>
      <c r="I165" s="110">
        <f>+I158+I119+I115+I110+I77+I145+I150+I151+I152+I153+I154+I156+I157+I155</f>
        <v>2803480.85</v>
      </c>
      <c r="J165" s="109">
        <f>+J158+J119+J115+J110+J77+J145+J150+J151+J152+J153+J154+J156+J157</f>
        <v>3217711.7900000005</v>
      </c>
      <c r="K165" s="105">
        <f t="shared" si="103"/>
        <v>414230.9400000004</v>
      </c>
      <c r="L165" s="108">
        <f>+L158+L119+L115+L110+L77+L145+L150+L151+L152+L153+L154+L156+L157+L155</f>
        <v>5255221.83</v>
      </c>
      <c r="M165" s="109">
        <f>+M158+M119+M115+M110+M77+M145+M150+M151+M152+M153+M154+M156+M157</f>
        <v>5324707.41</v>
      </c>
      <c r="N165" s="105">
        <f>+M165-L165</f>
        <v>69485.58000000007</v>
      </c>
      <c r="O165" s="108">
        <f>+O158+O119+O115+O110+O77+O145+O150+O151+O152+O153+O154+O156+O157+O155</f>
        <v>3569454.5200000005</v>
      </c>
      <c r="P165" s="109">
        <f>+P158+P119+P115+P110+P77+P145+P150+P151+P152+P153+P154+P156+P157</f>
        <v>3352880.39</v>
      </c>
      <c r="Q165" s="105">
        <f>+P165-O165</f>
        <v>-216574.13000000035</v>
      </c>
      <c r="R165" s="108">
        <f>+R158+R119+R115+R110+R77+R145+R150+R151+R152+R153+R154+R156+R157+R155</f>
        <v>1535803.99</v>
      </c>
      <c r="S165" s="109">
        <f>+S158+S119+S115+S110+S77+S145+S150+S151+S152+S153+S154+S156+S157</f>
        <v>1762111.27</v>
      </c>
      <c r="T165" s="105">
        <f>+S165-R165</f>
        <v>226307.28000000003</v>
      </c>
      <c r="U165" s="108">
        <f>+U158+U119+U115+U110+U77+U145+U150+U151+U152+U153+U154+U156+U157+U155</f>
        <v>2849523.83</v>
      </c>
      <c r="V165" s="109">
        <f>+V158+V119+V115+V110+V77+V145+V150+V151+V152+V153+V154+V156+V157</f>
        <v>2746364.6900000004</v>
      </c>
      <c r="W165" s="111">
        <f>+V165-U165</f>
        <v>-103159.13999999966</v>
      </c>
      <c r="X165" s="108">
        <f>+X158+X119+X115+X110+X77+X145+X150+X151+X152+X153+X154+X156+X157+X155</f>
        <v>2432134.5599999996</v>
      </c>
      <c r="Y165" s="109">
        <f>+Y158+Y119+Y115+Y110+Y77+Y145+Y150+Y151+Y152+Y153+Y154+Y156+Y157</f>
        <v>2519839.55</v>
      </c>
      <c r="Z165" s="105">
        <f>+Y165-X165</f>
        <v>87704.99000000022</v>
      </c>
      <c r="AB165" s="200">
        <f>+C165-F165-I165-L165-O165-R165-U165-X165</f>
        <v>30000.000000005588</v>
      </c>
    </row>
    <row r="166" spans="1:28" s="45" customFormat="1" ht="13.5">
      <c r="A166" s="112"/>
      <c r="B166" s="45" t="s">
        <v>78</v>
      </c>
      <c r="C166" s="67"/>
      <c r="D166" s="219">
        <f>206373.36+99541+209909.36+17823</f>
        <v>533646.72</v>
      </c>
      <c r="E166" s="146"/>
      <c r="F166" s="240">
        <f>+F20</f>
        <v>8227581.98</v>
      </c>
      <c r="G166" s="240">
        <f>+G20</f>
        <v>8382741.76</v>
      </c>
      <c r="H166" s="240"/>
      <c r="I166" s="240">
        <f>+I20</f>
        <v>2662795.07</v>
      </c>
      <c r="J166" s="240">
        <f>+J20</f>
        <v>2683224.62</v>
      </c>
      <c r="K166" s="240"/>
      <c r="L166" s="240">
        <f>+L20</f>
        <v>5140920.49</v>
      </c>
      <c r="M166" s="240">
        <f>+M20</f>
        <v>5023548.48</v>
      </c>
      <c r="N166" s="240"/>
      <c r="O166" s="240">
        <f>+O20</f>
        <v>3665203.1</v>
      </c>
      <c r="P166" s="240">
        <f>+P20</f>
        <v>3524879.46</v>
      </c>
      <c r="Q166" s="240"/>
      <c r="R166" s="240">
        <f>+R20</f>
        <v>1561998.65</v>
      </c>
      <c r="S166" s="240">
        <f>+S20</f>
        <v>1520277.52</v>
      </c>
      <c r="T166" s="240"/>
      <c r="U166" s="240">
        <f>+U20</f>
        <v>2887525.21</v>
      </c>
      <c r="V166" s="240">
        <f>+V20</f>
        <v>2914693.66</v>
      </c>
      <c r="W166" s="240"/>
      <c r="X166" s="240">
        <f>+X20</f>
        <v>2470979.99</v>
      </c>
      <c r="Y166" s="240">
        <f>+Y20</f>
        <v>2458227.6799999997</v>
      </c>
      <c r="Z166" s="240"/>
      <c r="AA166" s="240"/>
      <c r="AB166" s="240"/>
    </row>
    <row r="167" spans="1:18" s="45" customFormat="1" ht="13.5">
      <c r="A167" s="112"/>
      <c r="B167" s="45" t="s">
        <v>79</v>
      </c>
      <c r="C167" s="67"/>
      <c r="D167" s="219">
        <v>155658.02</v>
      </c>
      <c r="E167" s="146"/>
      <c r="R167" s="45">
        <f>+R160-R14</f>
        <v>0</v>
      </c>
    </row>
    <row r="168" spans="1:26" s="242" customFormat="1" ht="13.5">
      <c r="A168" s="241"/>
      <c r="C168" s="243">
        <f>+C165-C20</f>
        <v>0</v>
      </c>
      <c r="D168" s="243">
        <f>+D22-D165-D166-D167</f>
        <v>2.1245796233415604E-09</v>
      </c>
      <c r="E168" s="244">
        <f>-D169-C168</f>
        <v>0</v>
      </c>
      <c r="F168" s="245">
        <f>+F165-F20</f>
        <v>-86197.06999999937</v>
      </c>
      <c r="G168" s="245">
        <f>+G165-G20</f>
        <v>-797734.6899999985</v>
      </c>
      <c r="H168" s="244">
        <f>-G168-F168</f>
        <v>883931.7599999979</v>
      </c>
      <c r="I168" s="245">
        <f>+I165-I20</f>
        <v>140685.78000000026</v>
      </c>
      <c r="J168" s="245">
        <f>+J165-J20</f>
        <v>534487.1700000004</v>
      </c>
      <c r="K168" s="244">
        <f>-J168-I168</f>
        <v>-675172.9500000007</v>
      </c>
      <c r="L168" s="245">
        <f>+L165-L20</f>
        <v>114301.33999999985</v>
      </c>
      <c r="M168" s="245">
        <f>+M165-M20</f>
        <v>301158.9299999997</v>
      </c>
      <c r="N168" s="244">
        <f>-M168-L168</f>
        <v>-415460.26999999955</v>
      </c>
      <c r="O168" s="245">
        <f>+O165-O20</f>
        <v>-95748.57999999961</v>
      </c>
      <c r="P168" s="245">
        <f>+P165-P20</f>
        <v>-171999.06999999983</v>
      </c>
      <c r="Q168" s="244">
        <f>-P168-O168</f>
        <v>267747.64999999944</v>
      </c>
      <c r="R168" s="245">
        <f>+R165-R20</f>
        <v>-26194.659999999916</v>
      </c>
      <c r="S168" s="245">
        <f>+S165-S20</f>
        <v>241833.75</v>
      </c>
      <c r="T168" s="244">
        <f>-S168-R168</f>
        <v>-215639.09000000008</v>
      </c>
      <c r="U168" s="245">
        <f>+U165-U20</f>
        <v>-38001.37999999989</v>
      </c>
      <c r="V168" s="245">
        <f>+V165-V20</f>
        <v>-168328.96999999974</v>
      </c>
      <c r="W168" s="244">
        <f>-V168-U168</f>
        <v>206330.34999999963</v>
      </c>
      <c r="X168" s="245">
        <f>+X165-X20</f>
        <v>-38845.43000000063</v>
      </c>
      <c r="Y168" s="245">
        <f>+Y165-Y20</f>
        <v>61611.87000000011</v>
      </c>
      <c r="Z168" s="244">
        <f>-Y168-X168</f>
        <v>-22766.43999999948</v>
      </c>
    </row>
    <row r="169" spans="1:5" s="242" customFormat="1" ht="13.5">
      <c r="A169" s="241"/>
      <c r="C169" s="243">
        <f>+C165-C73</f>
        <v>0</v>
      </c>
      <c r="D169" s="243">
        <f>+D165-D73</f>
        <v>0</v>
      </c>
      <c r="E169" s="244"/>
    </row>
    <row r="170" spans="1:6" s="242" customFormat="1" ht="13.5">
      <c r="A170" s="241"/>
      <c r="C170" s="245">
        <f>+F165+I165+L165+O165+R165+U165+X165</f>
        <v>26587004.49</v>
      </c>
      <c r="D170" s="245">
        <f>+G165+J165+M165+P165+S165+V165+Y165</f>
        <v>26508622.17</v>
      </c>
      <c r="E170" s="246">
        <f>+D20-D166-D167</f>
        <v>25818288.440000005</v>
      </c>
      <c r="F170" s="247"/>
    </row>
    <row r="171" spans="1:6" s="242" customFormat="1" ht="13.5">
      <c r="A171" s="241"/>
      <c r="C171" s="243">
        <f>+C170-C165</f>
        <v>-30000.00000000745</v>
      </c>
      <c r="D171" s="243">
        <f>+D170-D165</f>
        <v>0</v>
      </c>
      <c r="E171" s="244"/>
      <c r="F171" s="247"/>
    </row>
    <row r="172" spans="1:5" s="242" customFormat="1" ht="13.5">
      <c r="A172" s="241"/>
      <c r="C172" s="245"/>
      <c r="E172" s="244"/>
    </row>
    <row r="173" spans="1:5" s="242" customFormat="1" ht="13.5">
      <c r="A173" s="241"/>
      <c r="C173" s="245" t="s">
        <v>154</v>
      </c>
      <c r="D173" s="245">
        <f>20526742.88-222983-57206-210938-1000-649.51-445234</f>
        <v>19588732.369999997</v>
      </c>
      <c r="E173" s="244"/>
    </row>
    <row r="174" spans="1:5" s="242" customFormat="1" ht="13.5">
      <c r="A174" s="241"/>
      <c r="C174" s="245" t="s">
        <v>121</v>
      </c>
      <c r="D174" s="243">
        <v>3414345.86</v>
      </c>
      <c r="E174" s="244"/>
    </row>
    <row r="175" spans="1:6" s="242" customFormat="1" ht="13.5">
      <c r="A175" s="241"/>
      <c r="C175" s="245" t="s">
        <v>157</v>
      </c>
      <c r="D175" s="243">
        <f>+D161+D160+D159</f>
        <v>3069369</v>
      </c>
      <c r="E175" s="248">
        <f>+D175/D174</f>
        <v>0.8989625321671426</v>
      </c>
      <c r="F175" s="249"/>
    </row>
    <row r="176" spans="1:6" s="242" customFormat="1" ht="13.5">
      <c r="A176" s="241"/>
      <c r="C176" s="243" t="s">
        <v>122</v>
      </c>
      <c r="D176" s="243"/>
      <c r="E176" s="244"/>
      <c r="F176" s="249"/>
    </row>
    <row r="177" spans="1:5" s="242" customFormat="1" ht="13.5">
      <c r="A177" s="241"/>
      <c r="C177" s="245" t="s">
        <v>124</v>
      </c>
      <c r="D177" s="245"/>
      <c r="E177" s="244"/>
    </row>
    <row r="178" spans="1:5" s="242" customFormat="1" ht="13.5">
      <c r="A178" s="241"/>
      <c r="C178" s="245"/>
      <c r="D178" s="243">
        <f>+D173+D174+D176+D177</f>
        <v>23003078.229999997</v>
      </c>
      <c r="E178" s="244"/>
    </row>
    <row r="179" spans="1:5" s="242" customFormat="1" ht="13.5">
      <c r="A179" s="241"/>
      <c r="C179" s="245"/>
      <c r="D179" s="243">
        <f>+D178-D165</f>
        <v>-3505543.940000005</v>
      </c>
      <c r="E179" s="244"/>
    </row>
    <row r="180" spans="1:5" s="45" customFormat="1" ht="13.5">
      <c r="A180" s="112"/>
      <c r="C180" s="56"/>
      <c r="D180" s="56"/>
      <c r="E180" s="113"/>
    </row>
    <row r="181" spans="1:5" s="45" customFormat="1" ht="13.5">
      <c r="A181" s="112"/>
      <c r="C181" s="56"/>
      <c r="D181" s="57"/>
      <c r="E181" s="113"/>
    </row>
    <row r="182" spans="1:5" s="45" customFormat="1" ht="13.5">
      <c r="A182" s="112"/>
      <c r="C182" s="56"/>
      <c r="D182" s="56"/>
      <c r="E182" s="113"/>
    </row>
    <row r="183" spans="1:5" s="45" customFormat="1" ht="13.5">
      <c r="A183" s="112"/>
      <c r="C183" s="56"/>
      <c r="D183" s="57"/>
      <c r="E183" s="113"/>
    </row>
    <row r="184" spans="1:5" s="45" customFormat="1" ht="13.5">
      <c r="A184" s="112"/>
      <c r="C184" s="56"/>
      <c r="D184" s="56"/>
      <c r="E184" s="113"/>
    </row>
    <row r="185" spans="1:5" s="45" customFormat="1" ht="13.5">
      <c r="A185" s="112"/>
      <c r="C185" s="56"/>
      <c r="D185" s="56"/>
      <c r="E185" s="113"/>
    </row>
    <row r="186" spans="1:5" s="45" customFormat="1" ht="13.5">
      <c r="A186" s="112"/>
      <c r="C186" s="56"/>
      <c r="D186" s="56"/>
      <c r="E186" s="113"/>
    </row>
    <row r="187" spans="1:5" s="45" customFormat="1" ht="13.5">
      <c r="A187" s="112"/>
      <c r="C187" s="56"/>
      <c r="D187" s="56"/>
      <c r="E187" s="113"/>
    </row>
    <row r="188" spans="1:5" s="45" customFormat="1" ht="13.5">
      <c r="A188" s="112"/>
      <c r="C188" s="56"/>
      <c r="D188" s="56"/>
      <c r="E188" s="113"/>
    </row>
  </sheetData>
  <sheetProtection/>
  <autoFilter ref="C1:C188"/>
  <mergeCells count="33">
    <mergeCell ref="A4:A5"/>
    <mergeCell ref="B4:B5"/>
    <mergeCell ref="C4:D4"/>
    <mergeCell ref="E4:E5"/>
    <mergeCell ref="F4:H4"/>
    <mergeCell ref="A75:A76"/>
    <mergeCell ref="B75:B76"/>
    <mergeCell ref="C75:D75"/>
    <mergeCell ref="A26:A27"/>
    <mergeCell ref="B26:B27"/>
    <mergeCell ref="L4:N4"/>
    <mergeCell ref="O4:Q4"/>
    <mergeCell ref="R4:T4"/>
    <mergeCell ref="U4:W4"/>
    <mergeCell ref="X4:Z4"/>
    <mergeCell ref="I75:K75"/>
    <mergeCell ref="L75:N75"/>
    <mergeCell ref="I4:K4"/>
    <mergeCell ref="I26:K26"/>
    <mergeCell ref="L26:N26"/>
    <mergeCell ref="X75:Z75"/>
    <mergeCell ref="F75:H75"/>
    <mergeCell ref="U26:W26"/>
    <mergeCell ref="O75:Q75"/>
    <mergeCell ref="R75:T75"/>
    <mergeCell ref="X26:Z26"/>
    <mergeCell ref="R26:T26"/>
    <mergeCell ref="C26:D26"/>
    <mergeCell ref="E26:E27"/>
    <mergeCell ref="F26:H26"/>
    <mergeCell ref="O26:Q26"/>
    <mergeCell ref="E75:E76"/>
    <mergeCell ref="U75:W75"/>
  </mergeCells>
  <printOptions horizontalCentered="1"/>
  <pageMargins left="0" right="0" top="0" bottom="0" header="0.5118110236220472" footer="0.5118110236220472"/>
  <pageSetup fitToWidth="2" fitToHeight="1" horizontalDpi="600" verticalDpi="600" orientation="portrait" paperSize="9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2015-04-06T00:53:21Z</cp:lastPrinted>
  <dcterms:created xsi:type="dcterms:W3CDTF">1996-10-08T23:32:33Z</dcterms:created>
  <dcterms:modified xsi:type="dcterms:W3CDTF">2015-04-06T01:26:48Z</dcterms:modified>
  <cp:category/>
  <cp:version/>
  <cp:contentType/>
  <cp:contentStatus/>
</cp:coreProperties>
</file>