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9040" windowHeight="15840"/>
  </bookViews>
  <sheets>
    <sheet name="Ведомств." sheetId="2" r:id="rId1"/>
  </sheets>
  <definedNames>
    <definedName name="_xlnm.Print_Area" localSheetId="0">Ведомств.!$A$1:$Q$334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4" i="2"/>
  <c r="J287"/>
  <c r="J291"/>
  <c r="J264"/>
  <c r="J251"/>
  <c r="J313"/>
  <c r="J318"/>
  <c r="J306"/>
  <c r="J252"/>
  <c r="J174"/>
  <c r="J132"/>
  <c r="J18"/>
  <c r="J67"/>
  <c r="J36"/>
  <c r="J34"/>
  <c r="J222"/>
  <c r="J191" l="1"/>
  <c r="K222" l="1"/>
  <c r="L222" s="1"/>
  <c r="M222" s="1"/>
  <c r="K221"/>
  <c r="J219"/>
  <c r="I219"/>
  <c r="L219" l="1"/>
  <c r="M219"/>
  <c r="O219" l="1"/>
  <c r="N219"/>
  <c r="P219" l="1"/>
  <c r="R219"/>
  <c r="Q219" l="1"/>
  <c r="S219"/>
  <c r="I320" l="1"/>
  <c r="K320" s="1"/>
  <c r="K319" s="1"/>
  <c r="S319"/>
  <c r="R319"/>
  <c r="Q319"/>
  <c r="P319"/>
  <c r="O319"/>
  <c r="N319"/>
  <c r="M319"/>
  <c r="L319"/>
  <c r="J319"/>
  <c r="H319"/>
  <c r="G319"/>
  <c r="I319" l="1"/>
  <c r="J160" l="1"/>
  <c r="S17" l="1"/>
  <c r="S16"/>
  <c r="S14"/>
  <c r="S13"/>
  <c r="S12" s="1"/>
  <c r="S334"/>
  <c r="S332"/>
  <c r="S331"/>
  <c r="S330"/>
  <c r="S329" s="1"/>
  <c r="S328" s="1"/>
  <c r="S327" s="1"/>
  <c r="R330"/>
  <c r="R329" s="1"/>
  <c r="R328" s="1"/>
  <c r="R327" s="1"/>
  <c r="S326"/>
  <c r="S325" s="1"/>
  <c r="R325"/>
  <c r="S324"/>
  <c r="S323" s="1"/>
  <c r="R323"/>
  <c r="S322"/>
  <c r="S321" s="1"/>
  <c r="R321"/>
  <c r="S317"/>
  <c r="S316" s="1"/>
  <c r="R316"/>
  <c r="S315"/>
  <c r="S314"/>
  <c r="S313"/>
  <c r="R312"/>
  <c r="S311"/>
  <c r="S310" s="1"/>
  <c r="R310"/>
  <c r="S309"/>
  <c r="S307" s="1"/>
  <c r="S308"/>
  <c r="R307"/>
  <c r="S306"/>
  <c r="S305" s="1"/>
  <c r="R305"/>
  <c r="S304"/>
  <c r="S303" s="1"/>
  <c r="R303"/>
  <c r="S300"/>
  <c r="S299" s="1"/>
  <c r="R300"/>
  <c r="R299" s="1"/>
  <c r="S296"/>
  <c r="S295"/>
  <c r="S294"/>
  <c r="S293" s="1"/>
  <c r="S292" s="1"/>
  <c r="R293"/>
  <c r="R292" s="1"/>
  <c r="S291"/>
  <c r="S289"/>
  <c r="S287"/>
  <c r="S285"/>
  <c r="S284" s="1"/>
  <c r="S280" s="1"/>
  <c r="R284"/>
  <c r="R280" s="1"/>
  <c r="S281"/>
  <c r="R281"/>
  <c r="S277"/>
  <c r="S276" s="1"/>
  <c r="S275" s="1"/>
  <c r="R276"/>
  <c r="R275" s="1"/>
  <c r="S274"/>
  <c r="S273"/>
  <c r="R272"/>
  <c r="R271" s="1"/>
  <c r="S268"/>
  <c r="R268"/>
  <c r="S265"/>
  <c r="R265"/>
  <c r="S264"/>
  <c r="S263" s="1"/>
  <c r="S262" s="1"/>
  <c r="R263"/>
  <c r="S260"/>
  <c r="R260"/>
  <c r="S258"/>
  <c r="R258"/>
  <c r="S253"/>
  <c r="R253"/>
  <c r="S252"/>
  <c r="R250"/>
  <c r="S247"/>
  <c r="S246" s="1"/>
  <c r="S245" s="1"/>
  <c r="S244" s="1"/>
  <c r="R246"/>
  <c r="R245" s="1"/>
  <c r="R244" s="1"/>
  <c r="S242"/>
  <c r="S241" s="1"/>
  <c r="S240" s="1"/>
  <c r="R241"/>
  <c r="R240" s="1"/>
  <c r="S238"/>
  <c r="S237" s="1"/>
  <c r="R238"/>
  <c r="R237" s="1"/>
  <c r="S233"/>
  <c r="S232" s="1"/>
  <c r="S231" s="1"/>
  <c r="R232"/>
  <c r="R231" s="1"/>
  <c r="S229"/>
  <c r="S228" s="1"/>
  <c r="S227" s="1"/>
  <c r="S226" s="1"/>
  <c r="S225" s="1"/>
  <c r="R229"/>
  <c r="R228" s="1"/>
  <c r="R227" s="1"/>
  <c r="S223"/>
  <c r="S221"/>
  <c r="S220"/>
  <c r="R218"/>
  <c r="R217" s="1"/>
  <c r="R216" s="1"/>
  <c r="R215" s="1"/>
  <c r="R214" s="1"/>
  <c r="S213"/>
  <c r="S212" s="1"/>
  <c r="S211" s="1"/>
  <c r="S210" s="1"/>
  <c r="S209" s="1"/>
  <c r="S208" s="1"/>
  <c r="R212"/>
  <c r="R211" s="1"/>
  <c r="R210" s="1"/>
  <c r="R209" s="1"/>
  <c r="R208" s="1"/>
  <c r="S207"/>
  <c r="S206" s="1"/>
  <c r="S205" s="1"/>
  <c r="S204" s="1"/>
  <c r="S203" s="1"/>
  <c r="S202" s="1"/>
  <c r="R206"/>
  <c r="R205" s="1"/>
  <c r="R204" s="1"/>
  <c r="R203" s="1"/>
  <c r="R202" s="1"/>
  <c r="S201"/>
  <c r="S200" s="1"/>
  <c r="S199" s="1"/>
  <c r="S198" s="1"/>
  <c r="S197" s="1"/>
  <c r="R200"/>
  <c r="R199" s="1"/>
  <c r="R198" s="1"/>
  <c r="R197" s="1"/>
  <c r="S195"/>
  <c r="S194"/>
  <c r="S193" s="1"/>
  <c r="R193"/>
  <c r="S192"/>
  <c r="S191"/>
  <c r="R190"/>
  <c r="S188"/>
  <c r="S187" s="1"/>
  <c r="R187"/>
  <c r="S185"/>
  <c r="S184" s="1"/>
  <c r="R184"/>
  <c r="S183"/>
  <c r="S182" s="1"/>
  <c r="R182"/>
  <c r="S179"/>
  <c r="S178" s="1"/>
  <c r="R178"/>
  <c r="S176"/>
  <c r="R176"/>
  <c r="S173"/>
  <c r="R173"/>
  <c r="S172"/>
  <c r="S170" s="1"/>
  <c r="S169" s="1"/>
  <c r="S168" s="1"/>
  <c r="S167" s="1"/>
  <c r="S171"/>
  <c r="R170"/>
  <c r="S166"/>
  <c r="S165" s="1"/>
  <c r="S164" s="1"/>
  <c r="S163" s="1"/>
  <c r="S162" s="1"/>
  <c r="R165"/>
  <c r="R164" s="1"/>
  <c r="R163" s="1"/>
  <c r="R162" s="1"/>
  <c r="S160"/>
  <c r="S159" s="1"/>
  <c r="S158" s="1"/>
  <c r="S157" s="1"/>
  <c r="S156" s="1"/>
  <c r="R159"/>
  <c r="R158" s="1"/>
  <c r="R157" s="1"/>
  <c r="R156" s="1"/>
  <c r="S155"/>
  <c r="S154" s="1"/>
  <c r="S153" s="1"/>
  <c r="S152" s="1"/>
  <c r="S151" s="1"/>
  <c r="R154"/>
  <c r="R153" s="1"/>
  <c r="R152" s="1"/>
  <c r="R151" s="1"/>
  <c r="S150"/>
  <c r="S149" s="1"/>
  <c r="R149"/>
  <c r="S148"/>
  <c r="S147" s="1"/>
  <c r="S146" s="1"/>
  <c r="R147"/>
  <c r="R146" s="1"/>
  <c r="S140"/>
  <c r="R140"/>
  <c r="S138"/>
  <c r="S136" s="1"/>
  <c r="S135" s="1"/>
  <c r="S134" s="1"/>
  <c r="S133" s="1"/>
  <c r="R136"/>
  <c r="S131"/>
  <c r="S130" s="1"/>
  <c r="R130"/>
  <c r="S129"/>
  <c r="S128"/>
  <c r="R127"/>
  <c r="R126" s="1"/>
  <c r="R125" s="1"/>
  <c r="S124"/>
  <c r="S123"/>
  <c r="S122" s="1"/>
  <c r="S121" s="1"/>
  <c r="R123"/>
  <c r="R122" s="1"/>
  <c r="R121" s="1"/>
  <c r="S119"/>
  <c r="S118" s="1"/>
  <c r="S117" s="1"/>
  <c r="R119"/>
  <c r="R118" s="1"/>
  <c r="R117" s="1"/>
  <c r="S115"/>
  <c r="S114" s="1"/>
  <c r="S113" s="1"/>
  <c r="S112" s="1"/>
  <c r="S111" s="1"/>
  <c r="R114"/>
  <c r="R113" s="1"/>
  <c r="R112" s="1"/>
  <c r="R111" s="1"/>
  <c r="S109"/>
  <c r="S108" s="1"/>
  <c r="R108"/>
  <c r="S104"/>
  <c r="R104"/>
  <c r="S100"/>
  <c r="R100"/>
  <c r="R99" s="1"/>
  <c r="R98" s="1"/>
  <c r="S97"/>
  <c r="S96"/>
  <c r="R95"/>
  <c r="R94" s="1"/>
  <c r="R93" s="1"/>
  <c r="R91"/>
  <c r="R90" s="1"/>
  <c r="S89"/>
  <c r="S88"/>
  <c r="R87"/>
  <c r="R86" s="1"/>
  <c r="S85"/>
  <c r="S84"/>
  <c r="R83"/>
  <c r="R82" s="1"/>
  <c r="R77"/>
  <c r="R76" s="1"/>
  <c r="S75"/>
  <c r="S74"/>
  <c r="S73"/>
  <c r="R72"/>
  <c r="S71"/>
  <c r="S70" s="1"/>
  <c r="R70"/>
  <c r="S67"/>
  <c r="S66" s="1"/>
  <c r="S65" s="1"/>
  <c r="R66"/>
  <c r="R65" s="1"/>
  <c r="S64"/>
  <c r="S63"/>
  <c r="R62"/>
  <c r="S61"/>
  <c r="S60" s="1"/>
  <c r="R60"/>
  <c r="S59"/>
  <c r="S58" s="1"/>
  <c r="R58"/>
  <c r="S57"/>
  <c r="S56" s="1"/>
  <c r="R56"/>
  <c r="S52"/>
  <c r="S51" s="1"/>
  <c r="R51"/>
  <c r="R49"/>
  <c r="S45"/>
  <c r="S44" s="1"/>
  <c r="R44"/>
  <c r="S43"/>
  <c r="S42" s="1"/>
  <c r="R42"/>
  <c r="R41" s="1"/>
  <c r="R40" s="1"/>
  <c r="R39" s="1"/>
  <c r="S38"/>
  <c r="S37"/>
  <c r="S36"/>
  <c r="S35"/>
  <c r="S34"/>
  <c r="R33"/>
  <c r="R32" s="1"/>
  <c r="R31" s="1"/>
  <c r="S30"/>
  <c r="S29"/>
  <c r="R28"/>
  <c r="R27" s="1"/>
  <c r="R26" s="1"/>
  <c r="S24"/>
  <c r="S23" s="1"/>
  <c r="S22" s="1"/>
  <c r="S21" s="1"/>
  <c r="S20" s="1"/>
  <c r="R23"/>
  <c r="R22" s="1"/>
  <c r="R21" s="1"/>
  <c r="R20" s="1"/>
  <c r="S15"/>
  <c r="R15"/>
  <c r="R12"/>
  <c r="G12"/>
  <c r="H12"/>
  <c r="J12"/>
  <c r="L12"/>
  <c r="M12"/>
  <c r="O12"/>
  <c r="Q12"/>
  <c r="I13"/>
  <c r="N13"/>
  <c r="I14"/>
  <c r="K14" s="1"/>
  <c r="N14"/>
  <c r="P14" s="1"/>
  <c r="G15"/>
  <c r="H15"/>
  <c r="J15"/>
  <c r="L15"/>
  <c r="M15"/>
  <c r="O15"/>
  <c r="O11" s="1"/>
  <c r="O10" s="1"/>
  <c r="O9" s="1"/>
  <c r="O8" s="1"/>
  <c r="O7" s="1"/>
  <c r="Q15"/>
  <c r="I16"/>
  <c r="K16" s="1"/>
  <c r="N16"/>
  <c r="I17"/>
  <c r="K17" s="1"/>
  <c r="N17"/>
  <c r="P17" s="1"/>
  <c r="G23"/>
  <c r="G22" s="1"/>
  <c r="G21" s="1"/>
  <c r="G20" s="1"/>
  <c r="H23"/>
  <c r="H22" s="1"/>
  <c r="H21" s="1"/>
  <c r="H20" s="1"/>
  <c r="J23"/>
  <c r="J22" s="1"/>
  <c r="J21" s="1"/>
  <c r="J20" s="1"/>
  <c r="L23"/>
  <c r="L22" s="1"/>
  <c r="L21" s="1"/>
  <c r="L20" s="1"/>
  <c r="M23"/>
  <c r="M22" s="1"/>
  <c r="M21" s="1"/>
  <c r="M20" s="1"/>
  <c r="O23"/>
  <c r="O22" s="1"/>
  <c r="O21" s="1"/>
  <c r="O20" s="1"/>
  <c r="Q23"/>
  <c r="Q22" s="1"/>
  <c r="Q21" s="1"/>
  <c r="Q20" s="1"/>
  <c r="I24"/>
  <c r="I23" s="1"/>
  <c r="I22" s="1"/>
  <c r="I21" s="1"/>
  <c r="I20" s="1"/>
  <c r="N24"/>
  <c r="N23" s="1"/>
  <c r="N22" s="1"/>
  <c r="N21" s="1"/>
  <c r="N20" s="1"/>
  <c r="G28"/>
  <c r="G27" s="1"/>
  <c r="G26" s="1"/>
  <c r="H28"/>
  <c r="H27" s="1"/>
  <c r="H26" s="1"/>
  <c r="J28"/>
  <c r="J27" s="1"/>
  <c r="J26" s="1"/>
  <c r="L28"/>
  <c r="L27" s="1"/>
  <c r="L26" s="1"/>
  <c r="M28"/>
  <c r="M27" s="1"/>
  <c r="M26" s="1"/>
  <c r="O28"/>
  <c r="O27" s="1"/>
  <c r="O26" s="1"/>
  <c r="Q28"/>
  <c r="Q27" s="1"/>
  <c r="Q26" s="1"/>
  <c r="I29"/>
  <c r="K29" s="1"/>
  <c r="N29"/>
  <c r="P29" s="1"/>
  <c r="I30"/>
  <c r="K30" s="1"/>
  <c r="N30"/>
  <c r="P30" s="1"/>
  <c r="G33"/>
  <c r="G32" s="1"/>
  <c r="G31" s="1"/>
  <c r="J33"/>
  <c r="J32" s="1"/>
  <c r="J31" s="1"/>
  <c r="L33"/>
  <c r="L32" s="1"/>
  <c r="L31" s="1"/>
  <c r="L25" s="1"/>
  <c r="M33"/>
  <c r="M32" s="1"/>
  <c r="M31" s="1"/>
  <c r="O33"/>
  <c r="O32" s="1"/>
  <c r="O31" s="1"/>
  <c r="Q33"/>
  <c r="Q32" s="1"/>
  <c r="Q31" s="1"/>
  <c r="I34"/>
  <c r="N34"/>
  <c r="P34" s="1"/>
  <c r="H35"/>
  <c r="N35"/>
  <c r="P35" s="1"/>
  <c r="I36"/>
  <c r="K36" s="1"/>
  <c r="N36"/>
  <c r="P36"/>
  <c r="I37"/>
  <c r="K37" s="1"/>
  <c r="N37"/>
  <c r="P37" s="1"/>
  <c r="I38"/>
  <c r="K38" s="1"/>
  <c r="N38"/>
  <c r="P38" s="1"/>
  <c r="G42"/>
  <c r="H42"/>
  <c r="H41" s="1"/>
  <c r="H40" s="1"/>
  <c r="H39" s="1"/>
  <c r="J42"/>
  <c r="L42"/>
  <c r="M42"/>
  <c r="O42"/>
  <c r="Q42"/>
  <c r="I43"/>
  <c r="K43" s="1"/>
  <c r="K42" s="1"/>
  <c r="N43"/>
  <c r="N42" s="1"/>
  <c r="G44"/>
  <c r="H44"/>
  <c r="J44"/>
  <c r="L44"/>
  <c r="M44"/>
  <c r="O44"/>
  <c r="Q44"/>
  <c r="I45"/>
  <c r="N45"/>
  <c r="N44" s="1"/>
  <c r="H49"/>
  <c r="J49"/>
  <c r="M49"/>
  <c r="O49"/>
  <c r="G50"/>
  <c r="L50"/>
  <c r="L49" s="1"/>
  <c r="Q50"/>
  <c r="Q49" s="1"/>
  <c r="G51"/>
  <c r="H51"/>
  <c r="J51"/>
  <c r="L51"/>
  <c r="M51"/>
  <c r="O51"/>
  <c r="Q51"/>
  <c r="I52"/>
  <c r="I51" s="1"/>
  <c r="N52"/>
  <c r="G56"/>
  <c r="H56"/>
  <c r="J56"/>
  <c r="L56"/>
  <c r="M56"/>
  <c r="O56"/>
  <c r="Q56"/>
  <c r="I57"/>
  <c r="N57"/>
  <c r="P57" s="1"/>
  <c r="P56" s="1"/>
  <c r="G58"/>
  <c r="H58"/>
  <c r="J58"/>
  <c r="L58"/>
  <c r="M58"/>
  <c r="O58"/>
  <c r="Q58"/>
  <c r="I59"/>
  <c r="I58" s="1"/>
  <c r="N59"/>
  <c r="P59" s="1"/>
  <c r="P58" s="1"/>
  <c r="G60"/>
  <c r="H60"/>
  <c r="J60"/>
  <c r="L60"/>
  <c r="M60"/>
  <c r="O60"/>
  <c r="Q60"/>
  <c r="I61"/>
  <c r="I60" s="1"/>
  <c r="N61"/>
  <c r="G62"/>
  <c r="J62"/>
  <c r="L62"/>
  <c r="M62"/>
  <c r="O62"/>
  <c r="Q62"/>
  <c r="H63"/>
  <c r="N63"/>
  <c r="I64"/>
  <c r="K64" s="1"/>
  <c r="N64"/>
  <c r="P64" s="1"/>
  <c r="G66"/>
  <c r="G65" s="1"/>
  <c r="J66"/>
  <c r="J65" s="1"/>
  <c r="L66"/>
  <c r="L65" s="1"/>
  <c r="O66"/>
  <c r="O65" s="1"/>
  <c r="Q66"/>
  <c r="Q65" s="1"/>
  <c r="H67"/>
  <c r="M67"/>
  <c r="M66" s="1"/>
  <c r="M65" s="1"/>
  <c r="G70"/>
  <c r="H70"/>
  <c r="J70"/>
  <c r="L70"/>
  <c r="M70"/>
  <c r="O70"/>
  <c r="Q70"/>
  <c r="I71"/>
  <c r="I70" s="1"/>
  <c r="K71"/>
  <c r="K70" s="1"/>
  <c r="N71"/>
  <c r="N70" s="1"/>
  <c r="G72"/>
  <c r="H72"/>
  <c r="J72"/>
  <c r="L72"/>
  <c r="L69" s="1"/>
  <c r="M72"/>
  <c r="O72"/>
  <c r="Q72"/>
  <c r="I73"/>
  <c r="N73"/>
  <c r="I74"/>
  <c r="K74" s="1"/>
  <c r="N74"/>
  <c r="P74" s="1"/>
  <c r="I75"/>
  <c r="K75" s="1"/>
  <c r="N75"/>
  <c r="P75" s="1"/>
  <c r="G77"/>
  <c r="G76" s="1"/>
  <c r="H77"/>
  <c r="H76" s="1"/>
  <c r="J77"/>
  <c r="J76" s="1"/>
  <c r="M77"/>
  <c r="M76" s="1"/>
  <c r="O77"/>
  <c r="O76" s="1"/>
  <c r="I78"/>
  <c r="L78"/>
  <c r="L77" s="1"/>
  <c r="L76" s="1"/>
  <c r="Q78"/>
  <c r="S78" s="1"/>
  <c r="S77" s="1"/>
  <c r="S76" s="1"/>
  <c r="G83"/>
  <c r="G82" s="1"/>
  <c r="J83"/>
  <c r="J82" s="1"/>
  <c r="L83"/>
  <c r="L82" s="1"/>
  <c r="M83"/>
  <c r="M82" s="1"/>
  <c r="O83"/>
  <c r="O82" s="1"/>
  <c r="Q83"/>
  <c r="Q82" s="1"/>
  <c r="H84"/>
  <c r="H83" s="1"/>
  <c r="H82" s="1"/>
  <c r="N84"/>
  <c r="I85"/>
  <c r="K85" s="1"/>
  <c r="N85"/>
  <c r="P85" s="1"/>
  <c r="G87"/>
  <c r="G86" s="1"/>
  <c r="H87"/>
  <c r="H86" s="1"/>
  <c r="J87"/>
  <c r="J86" s="1"/>
  <c r="L87"/>
  <c r="L86" s="1"/>
  <c r="M87"/>
  <c r="M86" s="1"/>
  <c r="O87"/>
  <c r="O86" s="1"/>
  <c r="Q87"/>
  <c r="Q86" s="1"/>
  <c r="I88"/>
  <c r="N88"/>
  <c r="P88" s="1"/>
  <c r="I89"/>
  <c r="K89" s="1"/>
  <c r="N89"/>
  <c r="P89" s="1"/>
  <c r="H91"/>
  <c r="H90" s="1"/>
  <c r="J91"/>
  <c r="J90" s="1"/>
  <c r="M91"/>
  <c r="M90" s="1"/>
  <c r="O91"/>
  <c r="O90" s="1"/>
  <c r="G92"/>
  <c r="G91" s="1"/>
  <c r="G90" s="1"/>
  <c r="L92"/>
  <c r="L91" s="1"/>
  <c r="L90" s="1"/>
  <c r="Q92"/>
  <c r="G95"/>
  <c r="G94" s="1"/>
  <c r="G93" s="1"/>
  <c r="J95"/>
  <c r="J94" s="1"/>
  <c r="J93" s="1"/>
  <c r="L95"/>
  <c r="L94" s="1"/>
  <c r="L93" s="1"/>
  <c r="M95"/>
  <c r="M94" s="1"/>
  <c r="M93" s="1"/>
  <c r="O95"/>
  <c r="O94" s="1"/>
  <c r="O93" s="1"/>
  <c r="Q95"/>
  <c r="Q94" s="1"/>
  <c r="Q93" s="1"/>
  <c r="H96"/>
  <c r="I96" s="1"/>
  <c r="N96"/>
  <c r="I97"/>
  <c r="K97" s="1"/>
  <c r="N97"/>
  <c r="P97" s="1"/>
  <c r="G100"/>
  <c r="H100"/>
  <c r="I100"/>
  <c r="J100"/>
  <c r="K100"/>
  <c r="L100"/>
  <c r="M100"/>
  <c r="N100"/>
  <c r="O100"/>
  <c r="P100"/>
  <c r="Q100"/>
  <c r="G104"/>
  <c r="H104"/>
  <c r="I104"/>
  <c r="J104"/>
  <c r="K104"/>
  <c r="L104"/>
  <c r="M104"/>
  <c r="N104"/>
  <c r="O104"/>
  <c r="P104"/>
  <c r="Q104"/>
  <c r="G108"/>
  <c r="H108"/>
  <c r="J108"/>
  <c r="L108"/>
  <c r="M108"/>
  <c r="O108"/>
  <c r="Q108"/>
  <c r="I109"/>
  <c r="K109" s="1"/>
  <c r="K108" s="1"/>
  <c r="N109"/>
  <c r="N108" s="1"/>
  <c r="H114"/>
  <c r="H113" s="1"/>
  <c r="H112" s="1"/>
  <c r="H111" s="1"/>
  <c r="J114"/>
  <c r="J113" s="1"/>
  <c r="J112" s="1"/>
  <c r="J111" s="1"/>
  <c r="M114"/>
  <c r="M113" s="1"/>
  <c r="M112" s="1"/>
  <c r="M111" s="1"/>
  <c r="O114"/>
  <c r="O113" s="1"/>
  <c r="O112" s="1"/>
  <c r="O111" s="1"/>
  <c r="Q114"/>
  <c r="Q113" s="1"/>
  <c r="Q112" s="1"/>
  <c r="Q111" s="1"/>
  <c r="G115"/>
  <c r="L115"/>
  <c r="L114" s="1"/>
  <c r="L113" s="1"/>
  <c r="L112" s="1"/>
  <c r="L111" s="1"/>
  <c r="G119"/>
  <c r="G118" s="1"/>
  <c r="G117" s="1"/>
  <c r="H119"/>
  <c r="H118" s="1"/>
  <c r="H117" s="1"/>
  <c r="I119"/>
  <c r="I118" s="1"/>
  <c r="I117" s="1"/>
  <c r="J119"/>
  <c r="J118" s="1"/>
  <c r="J117" s="1"/>
  <c r="K119"/>
  <c r="K118" s="1"/>
  <c r="K117" s="1"/>
  <c r="L119"/>
  <c r="L118" s="1"/>
  <c r="L117" s="1"/>
  <c r="M119"/>
  <c r="M118" s="1"/>
  <c r="M117" s="1"/>
  <c r="N119"/>
  <c r="N118" s="1"/>
  <c r="N117" s="1"/>
  <c r="O119"/>
  <c r="O118" s="1"/>
  <c r="O117" s="1"/>
  <c r="P119"/>
  <c r="P118" s="1"/>
  <c r="P117" s="1"/>
  <c r="Q119"/>
  <c r="Q118" s="1"/>
  <c r="Q117" s="1"/>
  <c r="H122"/>
  <c r="H121" s="1"/>
  <c r="G123"/>
  <c r="G122" s="1"/>
  <c r="G121" s="1"/>
  <c r="H123"/>
  <c r="J123"/>
  <c r="J122" s="1"/>
  <c r="J121" s="1"/>
  <c r="L123"/>
  <c r="L122" s="1"/>
  <c r="L121" s="1"/>
  <c r="M123"/>
  <c r="M122" s="1"/>
  <c r="M121" s="1"/>
  <c r="O123"/>
  <c r="O122" s="1"/>
  <c r="O121" s="1"/>
  <c r="Q123"/>
  <c r="Q122" s="1"/>
  <c r="Q121" s="1"/>
  <c r="I124"/>
  <c r="N124"/>
  <c r="N123" s="1"/>
  <c r="N122" s="1"/>
  <c r="N121" s="1"/>
  <c r="G127"/>
  <c r="H127"/>
  <c r="J127"/>
  <c r="L127"/>
  <c r="M127"/>
  <c r="O127"/>
  <c r="Q127"/>
  <c r="I128"/>
  <c r="N128"/>
  <c r="P128" s="1"/>
  <c r="I129"/>
  <c r="K129" s="1"/>
  <c r="N129"/>
  <c r="P129" s="1"/>
  <c r="G130"/>
  <c r="H130"/>
  <c r="J130"/>
  <c r="L130"/>
  <c r="M130"/>
  <c r="O130"/>
  <c r="Q130"/>
  <c r="I131"/>
  <c r="I130" s="1"/>
  <c r="N131"/>
  <c r="N130" s="1"/>
  <c r="G136"/>
  <c r="H136"/>
  <c r="J136"/>
  <c r="L136"/>
  <c r="M136"/>
  <c r="O136"/>
  <c r="Q136"/>
  <c r="I137"/>
  <c r="K137" s="1"/>
  <c r="I138"/>
  <c r="K138" s="1"/>
  <c r="N138"/>
  <c r="N136" s="1"/>
  <c r="G140"/>
  <c r="H140"/>
  <c r="I140"/>
  <c r="J140"/>
  <c r="K140"/>
  <c r="L140"/>
  <c r="M140"/>
  <c r="M135" s="1"/>
  <c r="M134" s="1"/>
  <c r="M133" s="1"/>
  <c r="N140"/>
  <c r="O140"/>
  <c r="P140"/>
  <c r="Q140"/>
  <c r="G147"/>
  <c r="G146" s="1"/>
  <c r="G145" s="1"/>
  <c r="G144" s="1"/>
  <c r="H147"/>
  <c r="H146" s="1"/>
  <c r="J147"/>
  <c r="J146" s="1"/>
  <c r="L147"/>
  <c r="L146" s="1"/>
  <c r="M147"/>
  <c r="M146" s="1"/>
  <c r="O147"/>
  <c r="O146" s="1"/>
  <c r="Q147"/>
  <c r="Q146" s="1"/>
  <c r="I148"/>
  <c r="N148"/>
  <c r="P148" s="1"/>
  <c r="P147" s="1"/>
  <c r="P146" s="1"/>
  <c r="G149"/>
  <c r="H149"/>
  <c r="J149"/>
  <c r="L149"/>
  <c r="M149"/>
  <c r="O149"/>
  <c r="Q149"/>
  <c r="I150"/>
  <c r="I149" s="1"/>
  <c r="N150"/>
  <c r="P150" s="1"/>
  <c r="P149" s="1"/>
  <c r="G154"/>
  <c r="G153" s="1"/>
  <c r="G152" s="1"/>
  <c r="G151" s="1"/>
  <c r="H154"/>
  <c r="H153" s="1"/>
  <c r="H152" s="1"/>
  <c r="H151" s="1"/>
  <c r="J154"/>
  <c r="J153" s="1"/>
  <c r="J152" s="1"/>
  <c r="J151" s="1"/>
  <c r="L154"/>
  <c r="L153" s="1"/>
  <c r="L152" s="1"/>
  <c r="L151" s="1"/>
  <c r="M154"/>
  <c r="M153" s="1"/>
  <c r="M152" s="1"/>
  <c r="M151" s="1"/>
  <c r="O154"/>
  <c r="O153" s="1"/>
  <c r="O152" s="1"/>
  <c r="O151" s="1"/>
  <c r="Q154"/>
  <c r="Q153" s="1"/>
  <c r="Q152" s="1"/>
  <c r="Q151" s="1"/>
  <c r="I155"/>
  <c r="N155"/>
  <c r="P155" s="1"/>
  <c r="P154" s="1"/>
  <c r="P153" s="1"/>
  <c r="P152" s="1"/>
  <c r="P151" s="1"/>
  <c r="G159"/>
  <c r="G158" s="1"/>
  <c r="G157" s="1"/>
  <c r="G156" s="1"/>
  <c r="H159"/>
  <c r="H158" s="1"/>
  <c r="H157" s="1"/>
  <c r="H156" s="1"/>
  <c r="J159"/>
  <c r="J158" s="1"/>
  <c r="J157" s="1"/>
  <c r="J156" s="1"/>
  <c r="L159"/>
  <c r="L158" s="1"/>
  <c r="L157" s="1"/>
  <c r="L156" s="1"/>
  <c r="M159"/>
  <c r="M158" s="1"/>
  <c r="M157" s="1"/>
  <c r="M156" s="1"/>
  <c r="O159"/>
  <c r="O158" s="1"/>
  <c r="O157" s="1"/>
  <c r="O156" s="1"/>
  <c r="Q159"/>
  <c r="Q158" s="1"/>
  <c r="Q157" s="1"/>
  <c r="Q156" s="1"/>
  <c r="I160"/>
  <c r="I159" s="1"/>
  <c r="I158" s="1"/>
  <c r="I157" s="1"/>
  <c r="I156" s="1"/>
  <c r="N160"/>
  <c r="P160" s="1"/>
  <c r="P159" s="1"/>
  <c r="P158" s="1"/>
  <c r="P157" s="1"/>
  <c r="P156" s="1"/>
  <c r="G165"/>
  <c r="G164" s="1"/>
  <c r="G163" s="1"/>
  <c r="G162" s="1"/>
  <c r="H165"/>
  <c r="H164" s="1"/>
  <c r="H163" s="1"/>
  <c r="H162" s="1"/>
  <c r="J165"/>
  <c r="J164" s="1"/>
  <c r="J163" s="1"/>
  <c r="J162" s="1"/>
  <c r="L165"/>
  <c r="L164" s="1"/>
  <c r="L163" s="1"/>
  <c r="L162" s="1"/>
  <c r="M165"/>
  <c r="M164" s="1"/>
  <c r="M163" s="1"/>
  <c r="M162" s="1"/>
  <c r="O165"/>
  <c r="O164" s="1"/>
  <c r="O163" s="1"/>
  <c r="O162" s="1"/>
  <c r="Q165"/>
  <c r="Q164" s="1"/>
  <c r="Q163" s="1"/>
  <c r="Q162" s="1"/>
  <c r="I166"/>
  <c r="K166" s="1"/>
  <c r="K165" s="1"/>
  <c r="K164" s="1"/>
  <c r="K163" s="1"/>
  <c r="K162" s="1"/>
  <c r="N166"/>
  <c r="G170"/>
  <c r="H170"/>
  <c r="J170"/>
  <c r="L170"/>
  <c r="M170"/>
  <c r="O170"/>
  <c r="Q170"/>
  <c r="I171"/>
  <c r="K171" s="1"/>
  <c r="N171"/>
  <c r="I172"/>
  <c r="N172"/>
  <c r="P172" s="1"/>
  <c r="G173"/>
  <c r="H173"/>
  <c r="J173"/>
  <c r="L173"/>
  <c r="M173"/>
  <c r="N173"/>
  <c r="O173"/>
  <c r="P173"/>
  <c r="Q173"/>
  <c r="I174"/>
  <c r="K174" s="1"/>
  <c r="K173" s="1"/>
  <c r="G176"/>
  <c r="H176"/>
  <c r="I176"/>
  <c r="J176"/>
  <c r="K176"/>
  <c r="L176"/>
  <c r="M176"/>
  <c r="N176"/>
  <c r="O176"/>
  <c r="P176"/>
  <c r="Q176"/>
  <c r="G178"/>
  <c r="H178"/>
  <c r="J178"/>
  <c r="L178"/>
  <c r="M178"/>
  <c r="O178"/>
  <c r="Q178"/>
  <c r="I179"/>
  <c r="K179" s="1"/>
  <c r="K178" s="1"/>
  <c r="N179"/>
  <c r="N178" s="1"/>
  <c r="G182"/>
  <c r="H182"/>
  <c r="J182"/>
  <c r="L182"/>
  <c r="M182"/>
  <c r="O182"/>
  <c r="Q182"/>
  <c r="I183"/>
  <c r="I182" s="1"/>
  <c r="N183"/>
  <c r="G184"/>
  <c r="H184"/>
  <c r="J184"/>
  <c r="L184"/>
  <c r="M184"/>
  <c r="O184"/>
  <c r="Q184"/>
  <c r="I185"/>
  <c r="K185" s="1"/>
  <c r="K184" s="1"/>
  <c r="N185"/>
  <c r="P185" s="1"/>
  <c r="P184" s="1"/>
  <c r="G187"/>
  <c r="H187"/>
  <c r="J187"/>
  <c r="L187"/>
  <c r="M187"/>
  <c r="O187"/>
  <c r="Q187"/>
  <c r="I188"/>
  <c r="N188"/>
  <c r="N187" s="1"/>
  <c r="I189"/>
  <c r="K189" s="1"/>
  <c r="G190"/>
  <c r="H190"/>
  <c r="J190"/>
  <c r="L190"/>
  <c r="M190"/>
  <c r="O190"/>
  <c r="Q190"/>
  <c r="I191"/>
  <c r="N191"/>
  <c r="P191" s="1"/>
  <c r="I192"/>
  <c r="K192" s="1"/>
  <c r="N192"/>
  <c r="P192" s="1"/>
  <c r="G193"/>
  <c r="H193"/>
  <c r="J193"/>
  <c r="L193"/>
  <c r="M193"/>
  <c r="O193"/>
  <c r="Q193"/>
  <c r="I194"/>
  <c r="K194" s="1"/>
  <c r="N194"/>
  <c r="I195"/>
  <c r="K195"/>
  <c r="N195"/>
  <c r="P195" s="1"/>
  <c r="I196"/>
  <c r="K196" s="1"/>
  <c r="H200"/>
  <c r="H199" s="1"/>
  <c r="H198" s="1"/>
  <c r="H197" s="1"/>
  <c r="J200"/>
  <c r="J199" s="1"/>
  <c r="J198" s="1"/>
  <c r="J197" s="1"/>
  <c r="L200"/>
  <c r="L199" s="1"/>
  <c r="L198" s="1"/>
  <c r="L197" s="1"/>
  <c r="M200"/>
  <c r="M199" s="1"/>
  <c r="M198" s="1"/>
  <c r="M197" s="1"/>
  <c r="O200"/>
  <c r="O199" s="1"/>
  <c r="O198" s="1"/>
  <c r="O197" s="1"/>
  <c r="Q200"/>
  <c r="Q199" s="1"/>
  <c r="Q198" s="1"/>
  <c r="Q197" s="1"/>
  <c r="G201"/>
  <c r="G200" s="1"/>
  <c r="G199" s="1"/>
  <c r="G198" s="1"/>
  <c r="G197" s="1"/>
  <c r="N201"/>
  <c r="G206"/>
  <c r="G205" s="1"/>
  <c r="G204" s="1"/>
  <c r="G203" s="1"/>
  <c r="G202" s="1"/>
  <c r="H206"/>
  <c r="H205" s="1"/>
  <c r="H204" s="1"/>
  <c r="H203" s="1"/>
  <c r="H202" s="1"/>
  <c r="J206"/>
  <c r="J205" s="1"/>
  <c r="J204" s="1"/>
  <c r="J203" s="1"/>
  <c r="J202" s="1"/>
  <c r="L206"/>
  <c r="L205" s="1"/>
  <c r="L204" s="1"/>
  <c r="L203" s="1"/>
  <c r="L202" s="1"/>
  <c r="M206"/>
  <c r="M205" s="1"/>
  <c r="M204" s="1"/>
  <c r="M203" s="1"/>
  <c r="M202" s="1"/>
  <c r="O206"/>
  <c r="O205" s="1"/>
  <c r="O204" s="1"/>
  <c r="O203" s="1"/>
  <c r="O202" s="1"/>
  <c r="Q206"/>
  <c r="Q205" s="1"/>
  <c r="Q204" s="1"/>
  <c r="Q203" s="1"/>
  <c r="Q202" s="1"/>
  <c r="I207"/>
  <c r="I206" s="1"/>
  <c r="I205" s="1"/>
  <c r="I204" s="1"/>
  <c r="I203" s="1"/>
  <c r="I202" s="1"/>
  <c r="N207"/>
  <c r="N206" s="1"/>
  <c r="N205" s="1"/>
  <c r="N204" s="1"/>
  <c r="N203" s="1"/>
  <c r="N202" s="1"/>
  <c r="G212"/>
  <c r="G211" s="1"/>
  <c r="G210" s="1"/>
  <c r="G209" s="1"/>
  <c r="G208" s="1"/>
  <c r="H212"/>
  <c r="H211" s="1"/>
  <c r="H210" s="1"/>
  <c r="H209" s="1"/>
  <c r="H208" s="1"/>
  <c r="J212"/>
  <c r="J211" s="1"/>
  <c r="J210" s="1"/>
  <c r="J209" s="1"/>
  <c r="J208" s="1"/>
  <c r="L212"/>
  <c r="L211" s="1"/>
  <c r="L210" s="1"/>
  <c r="L209" s="1"/>
  <c r="L208" s="1"/>
  <c r="M212"/>
  <c r="M211" s="1"/>
  <c r="M210" s="1"/>
  <c r="M209" s="1"/>
  <c r="M208" s="1"/>
  <c r="O212"/>
  <c r="O211" s="1"/>
  <c r="O210" s="1"/>
  <c r="O209" s="1"/>
  <c r="O208" s="1"/>
  <c r="Q212"/>
  <c r="Q211" s="1"/>
  <c r="Q210" s="1"/>
  <c r="Q209" s="1"/>
  <c r="Q208" s="1"/>
  <c r="I213"/>
  <c r="N213"/>
  <c r="P213" s="1"/>
  <c r="P212" s="1"/>
  <c r="P211" s="1"/>
  <c r="P210" s="1"/>
  <c r="P209" s="1"/>
  <c r="P208" s="1"/>
  <c r="G219"/>
  <c r="G218" s="1"/>
  <c r="G217" s="1"/>
  <c r="G216" s="1"/>
  <c r="G215" s="1"/>
  <c r="G214" s="1"/>
  <c r="H219"/>
  <c r="H218" s="1"/>
  <c r="H217" s="1"/>
  <c r="H216" s="1"/>
  <c r="H215" s="1"/>
  <c r="H214" s="1"/>
  <c r="J218"/>
  <c r="J217" s="1"/>
  <c r="J216" s="1"/>
  <c r="J215" s="1"/>
  <c r="J214" s="1"/>
  <c r="L218"/>
  <c r="L217" s="1"/>
  <c r="L216" s="1"/>
  <c r="L215" s="1"/>
  <c r="L214" s="1"/>
  <c r="M218"/>
  <c r="M217" s="1"/>
  <c r="M216" s="1"/>
  <c r="M215" s="1"/>
  <c r="M214" s="1"/>
  <c r="O218"/>
  <c r="O217" s="1"/>
  <c r="O216" s="1"/>
  <c r="O215" s="1"/>
  <c r="O214" s="1"/>
  <c r="Q218"/>
  <c r="Q217" s="1"/>
  <c r="Q216" s="1"/>
  <c r="Q215" s="1"/>
  <c r="Q214" s="1"/>
  <c r="I220"/>
  <c r="N220"/>
  <c r="I221"/>
  <c r="N221"/>
  <c r="P221" s="1"/>
  <c r="I223"/>
  <c r="K223" s="1"/>
  <c r="N223"/>
  <c r="P223" s="1"/>
  <c r="G229"/>
  <c r="G228" s="1"/>
  <c r="G227" s="1"/>
  <c r="H229"/>
  <c r="H228" s="1"/>
  <c r="H227" s="1"/>
  <c r="I229"/>
  <c r="I228" s="1"/>
  <c r="I227" s="1"/>
  <c r="J229"/>
  <c r="J228" s="1"/>
  <c r="J227" s="1"/>
  <c r="K229"/>
  <c r="K228" s="1"/>
  <c r="K227" s="1"/>
  <c r="L229"/>
  <c r="L228" s="1"/>
  <c r="L227" s="1"/>
  <c r="M229"/>
  <c r="M228" s="1"/>
  <c r="M227" s="1"/>
  <c r="N229"/>
  <c r="N228" s="1"/>
  <c r="N227" s="1"/>
  <c r="O229"/>
  <c r="O228" s="1"/>
  <c r="O227" s="1"/>
  <c r="P229"/>
  <c r="P228" s="1"/>
  <c r="P227" s="1"/>
  <c r="Q229"/>
  <c r="Q228" s="1"/>
  <c r="Q227" s="1"/>
  <c r="G232"/>
  <c r="G231" s="1"/>
  <c r="H232"/>
  <c r="H231" s="1"/>
  <c r="J232"/>
  <c r="J231" s="1"/>
  <c r="L232"/>
  <c r="L231" s="1"/>
  <c r="M232"/>
  <c r="M231" s="1"/>
  <c r="O232"/>
  <c r="O231" s="1"/>
  <c r="Q232"/>
  <c r="Q231" s="1"/>
  <c r="I233"/>
  <c r="K233" s="1"/>
  <c r="K232" s="1"/>
  <c r="K231" s="1"/>
  <c r="N233"/>
  <c r="P233" s="1"/>
  <c r="P232" s="1"/>
  <c r="P231" s="1"/>
  <c r="H237"/>
  <c r="P237"/>
  <c r="G238"/>
  <c r="G237" s="1"/>
  <c r="H238"/>
  <c r="I238"/>
  <c r="I237" s="1"/>
  <c r="J238"/>
  <c r="J237" s="1"/>
  <c r="K238"/>
  <c r="K237" s="1"/>
  <c r="L238"/>
  <c r="L237" s="1"/>
  <c r="M238"/>
  <c r="M237" s="1"/>
  <c r="N238"/>
  <c r="N237" s="1"/>
  <c r="O238"/>
  <c r="O237" s="1"/>
  <c r="P238"/>
  <c r="Q238"/>
  <c r="Q237" s="1"/>
  <c r="O240"/>
  <c r="G241"/>
  <c r="G240" s="1"/>
  <c r="H241"/>
  <c r="H240" s="1"/>
  <c r="J241"/>
  <c r="J240" s="1"/>
  <c r="L241"/>
  <c r="L240" s="1"/>
  <c r="M241"/>
  <c r="M240" s="1"/>
  <c r="O241"/>
  <c r="Q241"/>
  <c r="Q240" s="1"/>
  <c r="I242"/>
  <c r="K242" s="1"/>
  <c r="K241" s="1"/>
  <c r="K240" s="1"/>
  <c r="N242"/>
  <c r="P242" s="1"/>
  <c r="P241" s="1"/>
  <c r="P240" s="1"/>
  <c r="G246"/>
  <c r="G245" s="1"/>
  <c r="G244" s="1"/>
  <c r="H246"/>
  <c r="H245" s="1"/>
  <c r="H244" s="1"/>
  <c r="J246"/>
  <c r="J245" s="1"/>
  <c r="J244" s="1"/>
  <c r="L246"/>
  <c r="L245" s="1"/>
  <c r="L244" s="1"/>
  <c r="M246"/>
  <c r="M245" s="1"/>
  <c r="M244" s="1"/>
  <c r="O246"/>
  <c r="O245" s="1"/>
  <c r="O244" s="1"/>
  <c r="Q246"/>
  <c r="Q245" s="1"/>
  <c r="Q244" s="1"/>
  <c r="I247"/>
  <c r="I246" s="1"/>
  <c r="I245" s="1"/>
  <c r="I244" s="1"/>
  <c r="K247"/>
  <c r="K246" s="1"/>
  <c r="K245" s="1"/>
  <c r="K244" s="1"/>
  <c r="N247"/>
  <c r="P247" s="1"/>
  <c r="P246" s="1"/>
  <c r="P245" s="1"/>
  <c r="P244" s="1"/>
  <c r="J250"/>
  <c r="M250"/>
  <c r="O250"/>
  <c r="G251"/>
  <c r="H251"/>
  <c r="H250" s="1"/>
  <c r="L251"/>
  <c r="L250" s="1"/>
  <c r="Q251"/>
  <c r="I252"/>
  <c r="K252" s="1"/>
  <c r="N252"/>
  <c r="P252" s="1"/>
  <c r="G253"/>
  <c r="H253"/>
  <c r="I253"/>
  <c r="J253"/>
  <c r="K253"/>
  <c r="L253"/>
  <c r="M253"/>
  <c r="N253"/>
  <c r="O253"/>
  <c r="P253"/>
  <c r="Q253"/>
  <c r="G258"/>
  <c r="H258"/>
  <c r="I258"/>
  <c r="J258"/>
  <c r="K258"/>
  <c r="L258"/>
  <c r="M258"/>
  <c r="N258"/>
  <c r="O258"/>
  <c r="P258"/>
  <c r="Q258"/>
  <c r="G260"/>
  <c r="H260"/>
  <c r="I260"/>
  <c r="J260"/>
  <c r="K260"/>
  <c r="L260"/>
  <c r="M260"/>
  <c r="N260"/>
  <c r="O260"/>
  <c r="P260"/>
  <c r="Q260"/>
  <c r="G263"/>
  <c r="H263"/>
  <c r="J263"/>
  <c r="L263"/>
  <c r="M263"/>
  <c r="O263"/>
  <c r="Q263"/>
  <c r="I264"/>
  <c r="I263" s="1"/>
  <c r="N264"/>
  <c r="P264" s="1"/>
  <c r="P263" s="1"/>
  <c r="G265"/>
  <c r="J265"/>
  <c r="L265"/>
  <c r="M265"/>
  <c r="N265"/>
  <c r="O265"/>
  <c r="P265"/>
  <c r="Q265"/>
  <c r="H266"/>
  <c r="H265" s="1"/>
  <c r="G268"/>
  <c r="H268"/>
  <c r="I268"/>
  <c r="J268"/>
  <c r="K268"/>
  <c r="L268"/>
  <c r="M268"/>
  <c r="N268"/>
  <c r="O268"/>
  <c r="P268"/>
  <c r="Q268"/>
  <c r="G272"/>
  <c r="G271" s="1"/>
  <c r="J272"/>
  <c r="J271" s="1"/>
  <c r="L272"/>
  <c r="L271" s="1"/>
  <c r="M272"/>
  <c r="M271" s="1"/>
  <c r="O272"/>
  <c r="O271" s="1"/>
  <c r="Q272"/>
  <c r="Q271" s="1"/>
  <c r="I273"/>
  <c r="K273" s="1"/>
  <c r="N273"/>
  <c r="H274"/>
  <c r="H272" s="1"/>
  <c r="H271" s="1"/>
  <c r="N274"/>
  <c r="P274" s="1"/>
  <c r="G276"/>
  <c r="G275" s="1"/>
  <c r="H276"/>
  <c r="H275" s="1"/>
  <c r="J276"/>
  <c r="J275" s="1"/>
  <c r="L276"/>
  <c r="L275" s="1"/>
  <c r="M276"/>
  <c r="M275" s="1"/>
  <c r="O276"/>
  <c r="O275" s="1"/>
  <c r="Q276"/>
  <c r="Q275" s="1"/>
  <c r="I277"/>
  <c r="K277" s="1"/>
  <c r="K276" s="1"/>
  <c r="K275" s="1"/>
  <c r="N277"/>
  <c r="N276" s="1"/>
  <c r="N275" s="1"/>
  <c r="G281"/>
  <c r="H281"/>
  <c r="I281"/>
  <c r="J281"/>
  <c r="K281"/>
  <c r="L281"/>
  <c r="M281"/>
  <c r="N281"/>
  <c r="O281"/>
  <c r="P281"/>
  <c r="Q281"/>
  <c r="G284"/>
  <c r="H284"/>
  <c r="J284"/>
  <c r="L284"/>
  <c r="M284"/>
  <c r="M280" s="1"/>
  <c r="O284"/>
  <c r="O280" s="1"/>
  <c r="Q284"/>
  <c r="Q280" s="1"/>
  <c r="I285"/>
  <c r="N285"/>
  <c r="N284" s="1"/>
  <c r="N280" s="1"/>
  <c r="G286"/>
  <c r="J286"/>
  <c r="H287"/>
  <c r="H286" s="1"/>
  <c r="N287"/>
  <c r="P287" s="1"/>
  <c r="G288"/>
  <c r="J288"/>
  <c r="L288"/>
  <c r="H289"/>
  <c r="N289"/>
  <c r="P289"/>
  <c r="G290"/>
  <c r="J290"/>
  <c r="L290"/>
  <c r="H291"/>
  <c r="H290" s="1"/>
  <c r="N291"/>
  <c r="P291" s="1"/>
  <c r="G293"/>
  <c r="G292" s="1"/>
  <c r="J293"/>
  <c r="J292" s="1"/>
  <c r="L293"/>
  <c r="L292" s="1"/>
  <c r="M293"/>
  <c r="M292" s="1"/>
  <c r="O293"/>
  <c r="O292" s="1"/>
  <c r="Q293"/>
  <c r="Q292" s="1"/>
  <c r="H294"/>
  <c r="I294" s="1"/>
  <c r="N294"/>
  <c r="I295"/>
  <c r="K295" s="1"/>
  <c r="N295"/>
  <c r="P295" s="1"/>
  <c r="I296"/>
  <c r="K296" s="1"/>
  <c r="N296"/>
  <c r="P296" s="1"/>
  <c r="G300"/>
  <c r="G299" s="1"/>
  <c r="H300"/>
  <c r="H299" s="1"/>
  <c r="I300"/>
  <c r="I299" s="1"/>
  <c r="J300"/>
  <c r="J299" s="1"/>
  <c r="K300"/>
  <c r="K299" s="1"/>
  <c r="L300"/>
  <c r="L299" s="1"/>
  <c r="M300"/>
  <c r="M299" s="1"/>
  <c r="N300"/>
  <c r="N299" s="1"/>
  <c r="O300"/>
  <c r="O299" s="1"/>
  <c r="P300"/>
  <c r="P299" s="1"/>
  <c r="Q300"/>
  <c r="Q299" s="1"/>
  <c r="G303"/>
  <c r="J303"/>
  <c r="L303"/>
  <c r="M303"/>
  <c r="O303"/>
  <c r="O302" s="1"/>
  <c r="Q303"/>
  <c r="H304"/>
  <c r="I304" s="1"/>
  <c r="N304"/>
  <c r="G305"/>
  <c r="H305"/>
  <c r="J305"/>
  <c r="L305"/>
  <c r="M305"/>
  <c r="O305"/>
  <c r="Q305"/>
  <c r="I306"/>
  <c r="K306" s="1"/>
  <c r="K305" s="1"/>
  <c r="N306"/>
  <c r="N305" s="1"/>
  <c r="H307"/>
  <c r="J307"/>
  <c r="L307"/>
  <c r="M307"/>
  <c r="O307"/>
  <c r="Q307"/>
  <c r="I308"/>
  <c r="K308" s="1"/>
  <c r="N308"/>
  <c r="P308" s="1"/>
  <c r="G309"/>
  <c r="N309"/>
  <c r="P309" s="1"/>
  <c r="G310"/>
  <c r="J310"/>
  <c r="L310"/>
  <c r="M310"/>
  <c r="O310"/>
  <c r="Q310"/>
  <c r="H311"/>
  <c r="N311"/>
  <c r="N310" s="1"/>
  <c r="J312"/>
  <c r="L312"/>
  <c r="M312"/>
  <c r="O312"/>
  <c r="Q312"/>
  <c r="H313"/>
  <c r="N313"/>
  <c r="P313" s="1"/>
  <c r="I314"/>
  <c r="K314" s="1"/>
  <c r="N314"/>
  <c r="P314" s="1"/>
  <c r="G315"/>
  <c r="G312" s="1"/>
  <c r="H315"/>
  <c r="N315"/>
  <c r="P315" s="1"/>
  <c r="G316"/>
  <c r="J316"/>
  <c r="L316"/>
  <c r="M316"/>
  <c r="O316"/>
  <c r="Q316"/>
  <c r="H317"/>
  <c r="I317" s="1"/>
  <c r="K317" s="1"/>
  <c r="N317"/>
  <c r="N316" s="1"/>
  <c r="H318"/>
  <c r="I318" s="1"/>
  <c r="K318" s="1"/>
  <c r="G321"/>
  <c r="H321"/>
  <c r="J321"/>
  <c r="L321"/>
  <c r="M321"/>
  <c r="O321"/>
  <c r="Q321"/>
  <c r="I322"/>
  <c r="I321" s="1"/>
  <c r="N322"/>
  <c r="N321" s="1"/>
  <c r="G323"/>
  <c r="H323"/>
  <c r="J323"/>
  <c r="L323"/>
  <c r="M323"/>
  <c r="O323"/>
  <c r="Q323"/>
  <c r="I324"/>
  <c r="K324" s="1"/>
  <c r="K323" s="1"/>
  <c r="N324"/>
  <c r="N323" s="1"/>
  <c r="G325"/>
  <c r="H325"/>
  <c r="I325"/>
  <c r="J325"/>
  <c r="K325"/>
  <c r="L325"/>
  <c r="M325"/>
  <c r="O325"/>
  <c r="Q325"/>
  <c r="N326"/>
  <c r="P326" s="1"/>
  <c r="P325" s="1"/>
  <c r="O330"/>
  <c r="O329" s="1"/>
  <c r="O328" s="1"/>
  <c r="O327" s="1"/>
  <c r="N263" l="1"/>
  <c r="M302"/>
  <c r="M48"/>
  <c r="M47" s="1"/>
  <c r="M46" s="1"/>
  <c r="G302"/>
  <c r="G298" s="1"/>
  <c r="G297" s="1"/>
  <c r="L302"/>
  <c r="I266"/>
  <c r="I265" s="1"/>
  <c r="P131"/>
  <c r="P130" s="1"/>
  <c r="S41"/>
  <c r="S40" s="1"/>
  <c r="S39" s="1"/>
  <c r="R302"/>
  <c r="Q302"/>
  <c r="J302"/>
  <c r="Q262"/>
  <c r="Q257" s="1"/>
  <c r="Q256" s="1"/>
  <c r="P188"/>
  <c r="P187" s="1"/>
  <c r="O135"/>
  <c r="O134" s="1"/>
  <c r="O133" s="1"/>
  <c r="S87"/>
  <c r="S86" s="1"/>
  <c r="I293"/>
  <c r="I292" s="1"/>
  <c r="K294"/>
  <c r="K293" s="1"/>
  <c r="K292" s="1"/>
  <c r="O249"/>
  <c r="O248" s="1"/>
  <c r="M236"/>
  <c r="M235" s="1"/>
  <c r="G135"/>
  <c r="G134" s="1"/>
  <c r="G133" s="1"/>
  <c r="O126"/>
  <c r="O125" s="1"/>
  <c r="M69"/>
  <c r="I15"/>
  <c r="R48"/>
  <c r="R47" s="1"/>
  <c r="R46" s="1"/>
  <c r="S11"/>
  <c r="S10" s="1"/>
  <c r="S9" s="1"/>
  <c r="S8" s="1"/>
  <c r="S7" s="1"/>
  <c r="I315"/>
  <c r="K315" s="1"/>
  <c r="P311"/>
  <c r="P310" s="1"/>
  <c r="H293"/>
  <c r="H292" s="1"/>
  <c r="I274"/>
  <c r="K274" s="1"/>
  <c r="L249"/>
  <c r="L248" s="1"/>
  <c r="M249"/>
  <c r="M248" s="1"/>
  <c r="M243" s="1"/>
  <c r="M234" s="1"/>
  <c r="I201"/>
  <c r="K201" s="1"/>
  <c r="K200" s="1"/>
  <c r="K199" s="1"/>
  <c r="K198" s="1"/>
  <c r="K197" s="1"/>
  <c r="P145"/>
  <c r="P144" s="1"/>
  <c r="P109"/>
  <c r="P108" s="1"/>
  <c r="P87"/>
  <c r="P86" s="1"/>
  <c r="I84"/>
  <c r="K84" s="1"/>
  <c r="H69"/>
  <c r="K52"/>
  <c r="K51" s="1"/>
  <c r="K322"/>
  <c r="K321" s="1"/>
  <c r="N307"/>
  <c r="M279"/>
  <c r="M278" s="1"/>
  <c r="K264"/>
  <c r="K263" s="1"/>
  <c r="P207"/>
  <c r="P206" s="1"/>
  <c r="P205" s="1"/>
  <c r="P204" s="1"/>
  <c r="P203" s="1"/>
  <c r="P202" s="1"/>
  <c r="Q186"/>
  <c r="K160"/>
  <c r="K159" s="1"/>
  <c r="K158" s="1"/>
  <c r="K157" s="1"/>
  <c r="K156" s="1"/>
  <c r="K59"/>
  <c r="K58" s="1"/>
  <c r="P43"/>
  <c r="P42" s="1"/>
  <c r="O41"/>
  <c r="O40" s="1"/>
  <c r="O39" s="1"/>
  <c r="I42"/>
  <c r="R55"/>
  <c r="S99"/>
  <c r="S98" s="1"/>
  <c r="P24"/>
  <c r="P23" s="1"/>
  <c r="P22" s="1"/>
  <c r="P21" s="1"/>
  <c r="P20" s="1"/>
  <c r="L11"/>
  <c r="L10" s="1"/>
  <c r="L9" s="1"/>
  <c r="L8" s="1"/>
  <c r="L7" s="1"/>
  <c r="R279"/>
  <c r="R278" s="1"/>
  <c r="O279"/>
  <c r="O278" s="1"/>
  <c r="L280"/>
  <c r="J186"/>
  <c r="L169"/>
  <c r="L168" s="1"/>
  <c r="L167" s="1"/>
  <c r="L145"/>
  <c r="L144" s="1"/>
  <c r="H126"/>
  <c r="H125" s="1"/>
  <c r="O116"/>
  <c r="Q99"/>
  <c r="Q98" s="1"/>
  <c r="N95"/>
  <c r="N94" s="1"/>
  <c r="N93" s="1"/>
  <c r="N58"/>
  <c r="Q55"/>
  <c r="M41"/>
  <c r="M40" s="1"/>
  <c r="M39" s="1"/>
  <c r="R25"/>
  <c r="S145"/>
  <c r="S144" s="1"/>
  <c r="Q226"/>
  <c r="Q225" s="1"/>
  <c r="K28"/>
  <c r="K27" s="1"/>
  <c r="K26" s="1"/>
  <c r="P312"/>
  <c r="H303"/>
  <c r="M262"/>
  <c r="I184"/>
  <c r="P179"/>
  <c r="P178" s="1"/>
  <c r="O169"/>
  <c r="O168" s="1"/>
  <c r="O167" s="1"/>
  <c r="I178"/>
  <c r="Q145"/>
  <c r="Q144" s="1"/>
  <c r="K131"/>
  <c r="K130" s="1"/>
  <c r="I108"/>
  <c r="Q48"/>
  <c r="Q47" s="1"/>
  <c r="Q46" s="1"/>
  <c r="O48"/>
  <c r="O47" s="1"/>
  <c r="O46" s="1"/>
  <c r="G41"/>
  <c r="G40" s="1"/>
  <c r="G39" s="1"/>
  <c r="K24"/>
  <c r="K23" s="1"/>
  <c r="K22" s="1"/>
  <c r="K21" s="1"/>
  <c r="K20" s="1"/>
  <c r="G11"/>
  <c r="G10" s="1"/>
  <c r="G9" s="1"/>
  <c r="G8" s="1"/>
  <c r="G7" s="1"/>
  <c r="S62"/>
  <c r="S55" s="1"/>
  <c r="S54" s="1"/>
  <c r="S190"/>
  <c r="S186" s="1"/>
  <c r="S181" s="1"/>
  <c r="S180" s="1"/>
  <c r="S161" s="1"/>
  <c r="J226"/>
  <c r="J225" s="1"/>
  <c r="G169"/>
  <c r="G168" s="1"/>
  <c r="G167" s="1"/>
  <c r="R236"/>
  <c r="R235" s="1"/>
  <c r="N325"/>
  <c r="P324"/>
  <c r="P323" s="1"/>
  <c r="P317"/>
  <c r="P316" s="1"/>
  <c r="P285"/>
  <c r="P284" s="1"/>
  <c r="P280" s="1"/>
  <c r="J249"/>
  <c r="J248" s="1"/>
  <c r="J243" s="1"/>
  <c r="N251"/>
  <c r="P251" s="1"/>
  <c r="G226"/>
  <c r="G225" s="1"/>
  <c r="I200"/>
  <c r="I199" s="1"/>
  <c r="I198" s="1"/>
  <c r="I197" s="1"/>
  <c r="L186"/>
  <c r="L181" s="1"/>
  <c r="L180" s="1"/>
  <c r="K150"/>
  <c r="K149" s="1"/>
  <c r="N115"/>
  <c r="N114" s="1"/>
  <c r="N113" s="1"/>
  <c r="N112" s="1"/>
  <c r="N111" s="1"/>
  <c r="N99"/>
  <c r="N98" s="1"/>
  <c r="P71"/>
  <c r="P70" s="1"/>
  <c r="Q69"/>
  <c r="J69"/>
  <c r="N67"/>
  <c r="N66" s="1"/>
  <c r="N65" s="1"/>
  <c r="N50"/>
  <c r="P50" s="1"/>
  <c r="P49" s="1"/>
  <c r="J11"/>
  <c r="J10" s="1"/>
  <c r="J9" s="1"/>
  <c r="J8" s="1"/>
  <c r="J7" s="1"/>
  <c r="R11"/>
  <c r="R10" s="1"/>
  <c r="R9" s="1"/>
  <c r="R8" s="1"/>
  <c r="R7" s="1"/>
  <c r="S28"/>
  <c r="S27" s="1"/>
  <c r="S26" s="1"/>
  <c r="S50"/>
  <c r="S49" s="1"/>
  <c r="S48" s="1"/>
  <c r="S47" s="1"/>
  <c r="S46" s="1"/>
  <c r="R54"/>
  <c r="R69"/>
  <c r="S83"/>
  <c r="S82" s="1"/>
  <c r="R249"/>
  <c r="R248" s="1"/>
  <c r="R243" s="1"/>
  <c r="O226"/>
  <c r="O225" s="1"/>
  <c r="N193"/>
  <c r="P194"/>
  <c r="P193" s="1"/>
  <c r="I193"/>
  <c r="I123"/>
  <c r="I122" s="1"/>
  <c r="I121" s="1"/>
  <c r="K124"/>
  <c r="K123" s="1"/>
  <c r="K122" s="1"/>
  <c r="K121" s="1"/>
  <c r="L298"/>
  <c r="L297" s="1"/>
  <c r="G280"/>
  <c r="G279" s="1"/>
  <c r="G278" s="1"/>
  <c r="I272"/>
  <c r="I271" s="1"/>
  <c r="N232"/>
  <c r="N231" s="1"/>
  <c r="N226" s="1"/>
  <c r="N225" s="1"/>
  <c r="K193"/>
  <c r="N190"/>
  <c r="N184"/>
  <c r="O81"/>
  <c r="O80" s="1"/>
  <c r="O79" s="1"/>
  <c r="I12"/>
  <c r="K13"/>
  <c r="K12" s="1"/>
  <c r="R81"/>
  <c r="R80" s="1"/>
  <c r="R79" s="1"/>
  <c r="R116"/>
  <c r="R110" s="1"/>
  <c r="H316"/>
  <c r="L236"/>
  <c r="L235" s="1"/>
  <c r="I154"/>
  <c r="I153" s="1"/>
  <c r="I152" s="1"/>
  <c r="I151" s="1"/>
  <c r="K155"/>
  <c r="K154" s="1"/>
  <c r="K153" s="1"/>
  <c r="K152" s="1"/>
  <c r="K151" s="1"/>
  <c r="I323"/>
  <c r="P307"/>
  <c r="G262"/>
  <c r="H249"/>
  <c r="H248" s="1"/>
  <c r="H243" s="1"/>
  <c r="H234" s="1"/>
  <c r="O243"/>
  <c r="P236"/>
  <c r="P235" s="1"/>
  <c r="I241"/>
  <c r="I240" s="1"/>
  <c r="O236"/>
  <c r="O235" s="1"/>
  <c r="K236"/>
  <c r="K235" s="1"/>
  <c r="G236"/>
  <c r="G235" s="1"/>
  <c r="K226"/>
  <c r="K225" s="1"/>
  <c r="I218"/>
  <c r="I217" s="1"/>
  <c r="I216" s="1"/>
  <c r="I215" s="1"/>
  <c r="I214" s="1"/>
  <c r="N212"/>
  <c r="N211" s="1"/>
  <c r="N210" s="1"/>
  <c r="N209" s="1"/>
  <c r="N208" s="1"/>
  <c r="H186"/>
  <c r="Q181"/>
  <c r="Q180" s="1"/>
  <c r="J169"/>
  <c r="J168" s="1"/>
  <c r="J167" s="1"/>
  <c r="I165"/>
  <c r="I164" s="1"/>
  <c r="I163" s="1"/>
  <c r="I162" s="1"/>
  <c r="L135"/>
  <c r="L134" s="1"/>
  <c r="L133" s="1"/>
  <c r="K128"/>
  <c r="I127"/>
  <c r="L126"/>
  <c r="L125" s="1"/>
  <c r="I72"/>
  <c r="N15"/>
  <c r="P16"/>
  <c r="P15" s="1"/>
  <c r="N312"/>
  <c r="I187"/>
  <c r="P322"/>
  <c r="P321" s="1"/>
  <c r="P306"/>
  <c r="P305" s="1"/>
  <c r="I305"/>
  <c r="K304"/>
  <c r="K303" s="1"/>
  <c r="N293"/>
  <c r="N292" s="1"/>
  <c r="N279" s="1"/>
  <c r="N278" s="1"/>
  <c r="I291"/>
  <c r="K291" s="1"/>
  <c r="K290" s="1"/>
  <c r="P277"/>
  <c r="P276" s="1"/>
  <c r="P275" s="1"/>
  <c r="I276"/>
  <c r="I275" s="1"/>
  <c r="N262"/>
  <c r="J262"/>
  <c r="J257" s="1"/>
  <c r="J256" s="1"/>
  <c r="K266"/>
  <c r="K265" s="1"/>
  <c r="K262" s="1"/>
  <c r="O262"/>
  <c r="O257" s="1"/>
  <c r="O256" s="1"/>
  <c r="Q250"/>
  <c r="Q249" s="1"/>
  <c r="Q248" s="1"/>
  <c r="Q243" s="1"/>
  <c r="S251"/>
  <c r="S250" s="1"/>
  <c r="S249" s="1"/>
  <c r="S248" s="1"/>
  <c r="S243" s="1"/>
  <c r="I251"/>
  <c r="I250" s="1"/>
  <c r="I249" s="1"/>
  <c r="I248" s="1"/>
  <c r="I243" s="1"/>
  <c r="G250"/>
  <c r="G249" s="1"/>
  <c r="G248" s="1"/>
  <c r="G243" s="1"/>
  <c r="G234" s="1"/>
  <c r="H236"/>
  <c r="H235" s="1"/>
  <c r="J236"/>
  <c r="J235" s="1"/>
  <c r="L226"/>
  <c r="L225" s="1"/>
  <c r="K207"/>
  <c r="K206" s="1"/>
  <c r="K205" s="1"/>
  <c r="K204" s="1"/>
  <c r="K203" s="1"/>
  <c r="K202" s="1"/>
  <c r="K188"/>
  <c r="K187" s="1"/>
  <c r="M186"/>
  <c r="Q126"/>
  <c r="Q125" s="1"/>
  <c r="Q116" s="1"/>
  <c r="Q110" s="1"/>
  <c r="P115"/>
  <c r="P114" s="1"/>
  <c r="P113" s="1"/>
  <c r="P112" s="1"/>
  <c r="P111" s="1"/>
  <c r="J99"/>
  <c r="J98" s="1"/>
  <c r="I95"/>
  <c r="I94" s="1"/>
  <c r="I93" s="1"/>
  <c r="K96"/>
  <c r="Q91"/>
  <c r="Q90" s="1"/>
  <c r="S92"/>
  <c r="S91" s="1"/>
  <c r="S90" s="1"/>
  <c r="H62"/>
  <c r="H55" s="1"/>
  <c r="I63"/>
  <c r="N56"/>
  <c r="L41"/>
  <c r="L40" s="1"/>
  <c r="L39" s="1"/>
  <c r="R226"/>
  <c r="R225" s="1"/>
  <c r="J145"/>
  <c r="J144" s="1"/>
  <c r="M145"/>
  <c r="M144" s="1"/>
  <c r="M132" s="1"/>
  <c r="J135"/>
  <c r="J134" s="1"/>
  <c r="J133" s="1"/>
  <c r="P124"/>
  <c r="P123" s="1"/>
  <c r="P122" s="1"/>
  <c r="P121" s="1"/>
  <c r="I99"/>
  <c r="I98" s="1"/>
  <c r="P99"/>
  <c r="P98" s="1"/>
  <c r="L99"/>
  <c r="L98" s="1"/>
  <c r="H99"/>
  <c r="H98" s="1"/>
  <c r="O99"/>
  <c r="O98" s="1"/>
  <c r="G99"/>
  <c r="G98" s="1"/>
  <c r="P96"/>
  <c r="P95" s="1"/>
  <c r="P94" s="1"/>
  <c r="P93" s="1"/>
  <c r="N92"/>
  <c r="N91" s="1"/>
  <c r="N90" s="1"/>
  <c r="N87"/>
  <c r="N86" s="1"/>
  <c r="I83"/>
  <c r="I82" s="1"/>
  <c r="Q77"/>
  <c r="Q76" s="1"/>
  <c r="Q68" s="1"/>
  <c r="O69"/>
  <c r="O68" s="1"/>
  <c r="I69"/>
  <c r="P45"/>
  <c r="P44" s="1"/>
  <c r="K15"/>
  <c r="Q11"/>
  <c r="Q10" s="1"/>
  <c r="Q9" s="1"/>
  <c r="Q8" s="1"/>
  <c r="Q7" s="1"/>
  <c r="R68"/>
  <c r="R53" s="1"/>
  <c r="S132"/>
  <c r="R145"/>
  <c r="R144" s="1"/>
  <c r="R186"/>
  <c r="S218"/>
  <c r="S217" s="1"/>
  <c r="S216" s="1"/>
  <c r="S215" s="1"/>
  <c r="S214" s="1"/>
  <c r="N147"/>
  <c r="N146" s="1"/>
  <c r="H145"/>
  <c r="H144" s="1"/>
  <c r="N135"/>
  <c r="N134" s="1"/>
  <c r="N133" s="1"/>
  <c r="H135"/>
  <c r="H134" s="1"/>
  <c r="H133" s="1"/>
  <c r="M99"/>
  <c r="M98" s="1"/>
  <c r="H68"/>
  <c r="M68"/>
  <c r="N33"/>
  <c r="N32" s="1"/>
  <c r="N31" s="1"/>
  <c r="M25"/>
  <c r="H11"/>
  <c r="H10" s="1"/>
  <c r="H9" s="1"/>
  <c r="H8" s="1"/>
  <c r="H7" s="1"/>
  <c r="S72"/>
  <c r="S69" s="1"/>
  <c r="S68" s="1"/>
  <c r="R298"/>
  <c r="R297" s="1"/>
  <c r="O186"/>
  <c r="O181" s="1"/>
  <c r="O180" s="1"/>
  <c r="I173"/>
  <c r="I170"/>
  <c r="H169"/>
  <c r="H168" s="1"/>
  <c r="H167" s="1"/>
  <c r="Q135"/>
  <c r="Q134" s="1"/>
  <c r="Q133" s="1"/>
  <c r="Q132" s="1"/>
  <c r="G126"/>
  <c r="G125" s="1"/>
  <c r="G116" s="1"/>
  <c r="M126"/>
  <c r="M125" s="1"/>
  <c r="M116" s="1"/>
  <c r="M110" s="1"/>
  <c r="G81"/>
  <c r="H81"/>
  <c r="G69"/>
  <c r="G68" s="1"/>
  <c r="M55"/>
  <c r="M54" s="1"/>
  <c r="M53" s="1"/>
  <c r="M19" s="1"/>
  <c r="O55"/>
  <c r="G55"/>
  <c r="G54" s="1"/>
  <c r="J55"/>
  <c r="J54" s="1"/>
  <c r="L48"/>
  <c r="L47" s="1"/>
  <c r="L46" s="1"/>
  <c r="J48"/>
  <c r="J47" s="1"/>
  <c r="J46" s="1"/>
  <c r="Q41"/>
  <c r="Q40" s="1"/>
  <c r="Q39" s="1"/>
  <c r="I28"/>
  <c r="I27" s="1"/>
  <c r="I26" s="1"/>
  <c r="S95"/>
  <c r="S94" s="1"/>
  <c r="S93" s="1"/>
  <c r="S236"/>
  <c r="S235" s="1"/>
  <c r="R262"/>
  <c r="R257" s="1"/>
  <c r="R256" s="1"/>
  <c r="S272"/>
  <c r="S271" s="1"/>
  <c r="S257" s="1"/>
  <c r="S256" s="1"/>
  <c r="S312"/>
  <c r="O54"/>
  <c r="R181"/>
  <c r="R180" s="1"/>
  <c r="S33"/>
  <c r="S32" s="1"/>
  <c r="S31" s="1"/>
  <c r="S127"/>
  <c r="S126" s="1"/>
  <c r="S125" s="1"/>
  <c r="S116" s="1"/>
  <c r="S110" s="1"/>
  <c r="R135"/>
  <c r="R134" s="1"/>
  <c r="R133" s="1"/>
  <c r="R169"/>
  <c r="R168" s="1"/>
  <c r="R167" s="1"/>
  <c r="S279"/>
  <c r="S278" s="1"/>
  <c r="G307"/>
  <c r="I309"/>
  <c r="Q298"/>
  <c r="Q297" s="1"/>
  <c r="J298"/>
  <c r="J297" s="1"/>
  <c r="I289"/>
  <c r="H288"/>
  <c r="H280" s="1"/>
  <c r="H279" s="1"/>
  <c r="H278" s="1"/>
  <c r="K285"/>
  <c r="K284" s="1"/>
  <c r="I284"/>
  <c r="M257"/>
  <c r="M256" s="1"/>
  <c r="K316"/>
  <c r="L243"/>
  <c r="I316"/>
  <c r="Q279"/>
  <c r="Q278" s="1"/>
  <c r="P273"/>
  <c r="P272" s="1"/>
  <c r="P271" s="1"/>
  <c r="N272"/>
  <c r="N271" s="1"/>
  <c r="N257" s="1"/>
  <c r="N256" s="1"/>
  <c r="I262"/>
  <c r="H262"/>
  <c r="H257" s="1"/>
  <c r="H256" s="1"/>
  <c r="Q236"/>
  <c r="Q235" s="1"/>
  <c r="I236"/>
  <c r="I235" s="1"/>
  <c r="H226"/>
  <c r="H225" s="1"/>
  <c r="P262"/>
  <c r="I313"/>
  <c r="H312"/>
  <c r="I303"/>
  <c r="O298"/>
  <c r="O297" s="1"/>
  <c r="I311"/>
  <c r="H310"/>
  <c r="N303"/>
  <c r="N302" s="1"/>
  <c r="P304"/>
  <c r="P303" s="1"/>
  <c r="M298"/>
  <c r="M297" s="1"/>
  <c r="J280"/>
  <c r="J279" s="1"/>
  <c r="J278" s="1"/>
  <c r="L279"/>
  <c r="L278" s="1"/>
  <c r="K272"/>
  <c r="K271" s="1"/>
  <c r="L262"/>
  <c r="L257" s="1"/>
  <c r="L256" s="1"/>
  <c r="G257"/>
  <c r="G256" s="1"/>
  <c r="P250"/>
  <c r="P249" s="1"/>
  <c r="P248" s="1"/>
  <c r="P243" s="1"/>
  <c r="M226"/>
  <c r="M225" s="1"/>
  <c r="P226"/>
  <c r="P225" s="1"/>
  <c r="I232"/>
  <c r="I231" s="1"/>
  <c r="I226" s="1"/>
  <c r="I225" s="1"/>
  <c r="K213"/>
  <c r="K212" s="1"/>
  <c r="K211" s="1"/>
  <c r="K210" s="1"/>
  <c r="K209" s="1"/>
  <c r="K208" s="1"/>
  <c r="I212"/>
  <c r="I211" s="1"/>
  <c r="I210" s="1"/>
  <c r="I209" s="1"/>
  <c r="I208" s="1"/>
  <c r="K34"/>
  <c r="N250"/>
  <c r="N249" s="1"/>
  <c r="N248" s="1"/>
  <c r="J181"/>
  <c r="J180" s="1"/>
  <c r="P171"/>
  <c r="P170" s="1"/>
  <c r="N170"/>
  <c r="N169" s="1"/>
  <c r="N168" s="1"/>
  <c r="N167" s="1"/>
  <c r="K148"/>
  <c r="K147" s="1"/>
  <c r="K146" s="1"/>
  <c r="K145" s="1"/>
  <c r="K144" s="1"/>
  <c r="I147"/>
  <c r="I146" s="1"/>
  <c r="I145" s="1"/>
  <c r="I144" s="1"/>
  <c r="G132"/>
  <c r="P67"/>
  <c r="P66" s="1"/>
  <c r="P65" s="1"/>
  <c r="P294"/>
  <c r="P293" s="1"/>
  <c r="P292" s="1"/>
  <c r="I287"/>
  <c r="N246"/>
  <c r="N245" s="1"/>
  <c r="N244" s="1"/>
  <c r="N241"/>
  <c r="N240" s="1"/>
  <c r="N236" s="1"/>
  <c r="N235" s="1"/>
  <c r="P183"/>
  <c r="P182" s="1"/>
  <c r="N182"/>
  <c r="H181"/>
  <c r="H180" s="1"/>
  <c r="H161" s="1"/>
  <c r="M169"/>
  <c r="M168" s="1"/>
  <c r="M167" s="1"/>
  <c r="O161"/>
  <c r="N200"/>
  <c r="N199" s="1"/>
  <c r="N198" s="1"/>
  <c r="N197" s="1"/>
  <c r="P201"/>
  <c r="P200" s="1"/>
  <c r="P199" s="1"/>
  <c r="P198" s="1"/>
  <c r="P197" s="1"/>
  <c r="K191"/>
  <c r="K190" s="1"/>
  <c r="K186" s="1"/>
  <c r="I190"/>
  <c r="I186" s="1"/>
  <c r="I181" s="1"/>
  <c r="I180" s="1"/>
  <c r="P220"/>
  <c r="P218" s="1"/>
  <c r="P217" s="1"/>
  <c r="P216" s="1"/>
  <c r="P215" s="1"/>
  <c r="P214" s="1"/>
  <c r="N218"/>
  <c r="N217" s="1"/>
  <c r="N216" s="1"/>
  <c r="N215" s="1"/>
  <c r="N214" s="1"/>
  <c r="P190"/>
  <c r="P186" s="1"/>
  <c r="G186"/>
  <c r="G181" s="1"/>
  <c r="G180" s="1"/>
  <c r="M181"/>
  <c r="M180" s="1"/>
  <c r="Q169"/>
  <c r="Q168" s="1"/>
  <c r="Q167" s="1"/>
  <c r="Q161" s="1"/>
  <c r="P166"/>
  <c r="P165" s="1"/>
  <c r="P164" s="1"/>
  <c r="P163" s="1"/>
  <c r="P162" s="1"/>
  <c r="N165"/>
  <c r="N164" s="1"/>
  <c r="N163" s="1"/>
  <c r="N162" s="1"/>
  <c r="O145"/>
  <c r="O144" s="1"/>
  <c r="O132" s="1"/>
  <c r="K136"/>
  <c r="K135" s="1"/>
  <c r="K134" s="1"/>
  <c r="K133" s="1"/>
  <c r="P127"/>
  <c r="P126" s="1"/>
  <c r="P125" s="1"/>
  <c r="N127"/>
  <c r="N126" s="1"/>
  <c r="N125" s="1"/>
  <c r="N116" s="1"/>
  <c r="I126"/>
  <c r="I125" s="1"/>
  <c r="I116" s="1"/>
  <c r="K220"/>
  <c r="K183"/>
  <c r="K182" s="1"/>
  <c r="K172"/>
  <c r="K170" s="1"/>
  <c r="K169" s="1"/>
  <c r="K168" s="1"/>
  <c r="K167" s="1"/>
  <c r="N159"/>
  <c r="N158" s="1"/>
  <c r="N157" s="1"/>
  <c r="N156" s="1"/>
  <c r="N154"/>
  <c r="N153" s="1"/>
  <c r="N152" s="1"/>
  <c r="N151" s="1"/>
  <c r="N149"/>
  <c r="N145" s="1"/>
  <c r="N144" s="1"/>
  <c r="K127"/>
  <c r="L116"/>
  <c r="L110" s="1"/>
  <c r="H116"/>
  <c r="H110" s="1"/>
  <c r="G114"/>
  <c r="G113" s="1"/>
  <c r="G112" s="1"/>
  <c r="G111" s="1"/>
  <c r="I115"/>
  <c r="O110"/>
  <c r="P73"/>
  <c r="P72" s="1"/>
  <c r="N72"/>
  <c r="N69" s="1"/>
  <c r="K57"/>
  <c r="K56" s="1"/>
  <c r="I56"/>
  <c r="P138"/>
  <c r="P136" s="1"/>
  <c r="P135" s="1"/>
  <c r="P134" s="1"/>
  <c r="P133" s="1"/>
  <c r="P132" s="1"/>
  <c r="I136"/>
  <c r="I135" s="1"/>
  <c r="I134" s="1"/>
  <c r="I133" s="1"/>
  <c r="I132" s="1"/>
  <c r="J68"/>
  <c r="N62"/>
  <c r="P63"/>
  <c r="P62" s="1"/>
  <c r="J126"/>
  <c r="J125" s="1"/>
  <c r="J116" s="1"/>
  <c r="J110" s="1"/>
  <c r="K99"/>
  <c r="K98" s="1"/>
  <c r="K95"/>
  <c r="K94" s="1"/>
  <c r="K93" s="1"/>
  <c r="G80"/>
  <c r="G79" s="1"/>
  <c r="H95"/>
  <c r="H94" s="1"/>
  <c r="H93" s="1"/>
  <c r="Q81"/>
  <c r="Q80" s="1"/>
  <c r="Q79" s="1"/>
  <c r="L81"/>
  <c r="L80" s="1"/>
  <c r="L79" s="1"/>
  <c r="L55"/>
  <c r="L54" s="1"/>
  <c r="Q54"/>
  <c r="P52"/>
  <c r="P51" s="1"/>
  <c r="P48" s="1"/>
  <c r="P47" s="1"/>
  <c r="P46" s="1"/>
  <c r="N51"/>
  <c r="Q25"/>
  <c r="K88"/>
  <c r="K87" s="1"/>
  <c r="K86" s="1"/>
  <c r="I87"/>
  <c r="I86" s="1"/>
  <c r="N83"/>
  <c r="N82" s="1"/>
  <c r="P84"/>
  <c r="P83" s="1"/>
  <c r="P82" s="1"/>
  <c r="J81"/>
  <c r="J80" s="1"/>
  <c r="J79" s="1"/>
  <c r="L68"/>
  <c r="I67"/>
  <c r="H66"/>
  <c r="H65" s="1"/>
  <c r="K11"/>
  <c r="K10" s="1"/>
  <c r="K9" s="1"/>
  <c r="K8" s="1"/>
  <c r="K7" s="1"/>
  <c r="K83"/>
  <c r="K82" s="1"/>
  <c r="M81"/>
  <c r="M80" s="1"/>
  <c r="M79" s="1"/>
  <c r="K78"/>
  <c r="K77" s="1"/>
  <c r="K76" s="1"/>
  <c r="I77"/>
  <c r="I76" s="1"/>
  <c r="I68" s="1"/>
  <c r="P61"/>
  <c r="P60" s="1"/>
  <c r="N60"/>
  <c r="I92"/>
  <c r="N78"/>
  <c r="K73"/>
  <c r="K72" s="1"/>
  <c r="K69" s="1"/>
  <c r="K61"/>
  <c r="K60" s="1"/>
  <c r="N41"/>
  <c r="N40" s="1"/>
  <c r="N39" s="1"/>
  <c r="P28"/>
  <c r="P27" s="1"/>
  <c r="P26" s="1"/>
  <c r="O25"/>
  <c r="J25"/>
  <c r="P13"/>
  <c r="P12" s="1"/>
  <c r="N12"/>
  <c r="N11" s="1"/>
  <c r="N10" s="1"/>
  <c r="N9" s="1"/>
  <c r="N8" s="1"/>
  <c r="N7" s="1"/>
  <c r="G49"/>
  <c r="G48" s="1"/>
  <c r="G47" s="1"/>
  <c r="G46" s="1"/>
  <c r="I50"/>
  <c r="I35"/>
  <c r="K35" s="1"/>
  <c r="H33"/>
  <c r="H32" s="1"/>
  <c r="H31" s="1"/>
  <c r="H25" s="1"/>
  <c r="H48"/>
  <c r="H47" s="1"/>
  <c r="H46" s="1"/>
  <c r="K45"/>
  <c r="K44" s="1"/>
  <c r="K41" s="1"/>
  <c r="K40" s="1"/>
  <c r="K39" s="1"/>
  <c r="I44"/>
  <c r="I41" s="1"/>
  <c r="I40" s="1"/>
  <c r="I39" s="1"/>
  <c r="J41"/>
  <c r="J40" s="1"/>
  <c r="J39" s="1"/>
  <c r="P33"/>
  <c r="P32" s="1"/>
  <c r="P31" s="1"/>
  <c r="G25"/>
  <c r="I11"/>
  <c r="I10" s="1"/>
  <c r="I9" s="1"/>
  <c r="I8" s="1"/>
  <c r="I7" s="1"/>
  <c r="M11"/>
  <c r="M10" s="1"/>
  <c r="M9" s="1"/>
  <c r="M8" s="1"/>
  <c r="M7" s="1"/>
  <c r="N28"/>
  <c r="N27" s="1"/>
  <c r="N26" s="1"/>
  <c r="J330"/>
  <c r="J329" s="1"/>
  <c r="J328" s="1"/>
  <c r="J327" s="1"/>
  <c r="H332"/>
  <c r="K219" l="1"/>
  <c r="K218" s="1"/>
  <c r="K217" s="1"/>
  <c r="K216" s="1"/>
  <c r="K215" s="1"/>
  <c r="K214" s="1"/>
  <c r="K126"/>
  <c r="K125" s="1"/>
  <c r="K116" s="1"/>
  <c r="P169"/>
  <c r="P168" s="1"/>
  <c r="P167" s="1"/>
  <c r="I290"/>
  <c r="S81"/>
  <c r="S302"/>
  <c r="S298" s="1"/>
  <c r="S297" s="1"/>
  <c r="S255" s="1"/>
  <c r="S224" s="1"/>
  <c r="P279"/>
  <c r="P278" s="1"/>
  <c r="J161"/>
  <c r="P302"/>
  <c r="P298" s="1"/>
  <c r="P297" s="1"/>
  <c r="P41"/>
  <c r="P40" s="1"/>
  <c r="P39" s="1"/>
  <c r="L132"/>
  <c r="S25"/>
  <c r="H132"/>
  <c r="R19"/>
  <c r="H302"/>
  <c r="S80"/>
  <c r="S79" s="1"/>
  <c r="K68"/>
  <c r="N55"/>
  <c r="N54" s="1"/>
  <c r="P55"/>
  <c r="G161"/>
  <c r="N186"/>
  <c r="N181" s="1"/>
  <c r="N180" s="1"/>
  <c r="N161" s="1"/>
  <c r="S234"/>
  <c r="L161"/>
  <c r="N110"/>
  <c r="N49"/>
  <c r="P69"/>
  <c r="N132"/>
  <c r="M161"/>
  <c r="M18" s="1"/>
  <c r="P234"/>
  <c r="N298"/>
  <c r="N297" s="1"/>
  <c r="O255"/>
  <c r="L234"/>
  <c r="O234"/>
  <c r="R234"/>
  <c r="H54"/>
  <c r="H53" s="1"/>
  <c r="J234"/>
  <c r="R161"/>
  <c r="J53"/>
  <c r="J19" s="1"/>
  <c r="G53"/>
  <c r="S53"/>
  <c r="S19" s="1"/>
  <c r="S18" s="1"/>
  <c r="N81"/>
  <c r="N80" s="1"/>
  <c r="N79" s="1"/>
  <c r="Q53"/>
  <c r="Q19" s="1"/>
  <c r="Q18" s="1"/>
  <c r="H80"/>
  <c r="H79" s="1"/>
  <c r="K251"/>
  <c r="K250" s="1"/>
  <c r="K249" s="1"/>
  <c r="K248" s="1"/>
  <c r="K243" s="1"/>
  <c r="K234" s="1"/>
  <c r="I257"/>
  <c r="I256" s="1"/>
  <c r="P116"/>
  <c r="P110" s="1"/>
  <c r="R132"/>
  <c r="R18" s="1"/>
  <c r="R255"/>
  <c r="O53"/>
  <c r="O19" s="1"/>
  <c r="O18" s="1"/>
  <c r="H19"/>
  <c r="G19"/>
  <c r="N25"/>
  <c r="P92"/>
  <c r="P91" s="1"/>
  <c r="P90" s="1"/>
  <c r="K132"/>
  <c r="N243"/>
  <c r="N234" s="1"/>
  <c r="P257"/>
  <c r="P256" s="1"/>
  <c r="Q234"/>
  <c r="I169"/>
  <c r="I168" s="1"/>
  <c r="I167" s="1"/>
  <c r="I161" s="1"/>
  <c r="K63"/>
  <c r="K62" s="1"/>
  <c r="K55" s="1"/>
  <c r="I62"/>
  <c r="I55" s="1"/>
  <c r="P54"/>
  <c r="J255"/>
  <c r="K289"/>
  <c r="K288" s="1"/>
  <c r="I288"/>
  <c r="P11"/>
  <c r="P10" s="1"/>
  <c r="P9" s="1"/>
  <c r="P8" s="1"/>
  <c r="P7" s="1"/>
  <c r="N48"/>
  <c r="N47" s="1"/>
  <c r="N46" s="1"/>
  <c r="I286"/>
  <c r="K287"/>
  <c r="K286" s="1"/>
  <c r="K280" s="1"/>
  <c r="K279" s="1"/>
  <c r="K278" s="1"/>
  <c r="K313"/>
  <c r="K312" s="1"/>
  <c r="I312"/>
  <c r="K257"/>
  <c r="K256" s="1"/>
  <c r="K309"/>
  <c r="K307" s="1"/>
  <c r="I307"/>
  <c r="I302" s="1"/>
  <c r="K311"/>
  <c r="K310" s="1"/>
  <c r="I310"/>
  <c r="K50"/>
  <c r="K49" s="1"/>
  <c r="K48" s="1"/>
  <c r="K47" s="1"/>
  <c r="K46" s="1"/>
  <c r="I49"/>
  <c r="I48" s="1"/>
  <c r="I47" s="1"/>
  <c r="I46" s="1"/>
  <c r="P25"/>
  <c r="N77"/>
  <c r="N76" s="1"/>
  <c r="N68" s="1"/>
  <c r="N53" s="1"/>
  <c r="P78"/>
  <c r="P77" s="1"/>
  <c r="P76" s="1"/>
  <c r="P68" s="1"/>
  <c r="K67"/>
  <c r="K66" s="1"/>
  <c r="K65" s="1"/>
  <c r="I66"/>
  <c r="I65" s="1"/>
  <c r="L53"/>
  <c r="L19" s="1"/>
  <c r="L18" s="1"/>
  <c r="K115"/>
  <c r="K114" s="1"/>
  <c r="K113" s="1"/>
  <c r="K112" s="1"/>
  <c r="K111" s="1"/>
  <c r="K110" s="1"/>
  <c r="I114"/>
  <c r="I113" s="1"/>
  <c r="I112" s="1"/>
  <c r="I111" s="1"/>
  <c r="I110" s="1"/>
  <c r="P181"/>
  <c r="P180" s="1"/>
  <c r="P161" s="1"/>
  <c r="K181"/>
  <c r="K180" s="1"/>
  <c r="K161" s="1"/>
  <c r="K33"/>
  <c r="K32" s="1"/>
  <c r="K31" s="1"/>
  <c r="K25" s="1"/>
  <c r="I91"/>
  <c r="I90" s="1"/>
  <c r="I81" s="1"/>
  <c r="I80" s="1"/>
  <c r="I79" s="1"/>
  <c r="K92"/>
  <c r="K91" s="1"/>
  <c r="K90" s="1"/>
  <c r="K81" s="1"/>
  <c r="K80" s="1"/>
  <c r="K79" s="1"/>
  <c r="P81"/>
  <c r="P80" s="1"/>
  <c r="P79" s="1"/>
  <c r="G110"/>
  <c r="I33"/>
  <c r="I32" s="1"/>
  <c r="I31" s="1"/>
  <c r="I25" s="1"/>
  <c r="H298"/>
  <c r="H297" s="1"/>
  <c r="I234"/>
  <c r="N334"/>
  <c r="P334" s="1"/>
  <c r="N332"/>
  <c r="P332" s="1"/>
  <c r="N331"/>
  <c r="P331" s="1"/>
  <c r="K302" l="1"/>
  <c r="K298" s="1"/>
  <c r="K297" s="1"/>
  <c r="J224"/>
  <c r="J6" s="1"/>
  <c r="O224"/>
  <c r="I54"/>
  <c r="I53" s="1"/>
  <c r="I280"/>
  <c r="I279" s="1"/>
  <c r="I278" s="1"/>
  <c r="O6"/>
  <c r="G18"/>
  <c r="R224"/>
  <c r="R6" s="1"/>
  <c r="P330"/>
  <c r="P329" s="1"/>
  <c r="P328" s="1"/>
  <c r="P327" s="1"/>
  <c r="P255" s="1"/>
  <c r="P224" s="1"/>
  <c r="K54"/>
  <c r="K53" s="1"/>
  <c r="K19" s="1"/>
  <c r="K18" s="1"/>
  <c r="I298"/>
  <c r="I297" s="1"/>
  <c r="H18"/>
  <c r="P53"/>
  <c r="P19" s="1"/>
  <c r="P18" s="1"/>
  <c r="S6"/>
  <c r="N19"/>
  <c r="N18" s="1"/>
  <c r="I19"/>
  <c r="I18" s="1"/>
  <c r="N330"/>
  <c r="N329" s="1"/>
  <c r="N328" s="1"/>
  <c r="N327" s="1"/>
  <c r="N255" s="1"/>
  <c r="N224" s="1"/>
  <c r="M330"/>
  <c r="M329" s="1"/>
  <c r="M328" s="1"/>
  <c r="M327" s="1"/>
  <c r="M255" s="1"/>
  <c r="M224" s="1"/>
  <c r="M6" s="1"/>
  <c r="I332"/>
  <c r="K332" s="1"/>
  <c r="I333"/>
  <c r="K333" s="1"/>
  <c r="I334"/>
  <c r="K334" s="1"/>
  <c r="I331"/>
  <c r="K331" s="1"/>
  <c r="H330"/>
  <c r="H329" s="1"/>
  <c r="H328" s="1"/>
  <c r="H327" s="1"/>
  <c r="H255" s="1"/>
  <c r="H224" s="1"/>
  <c r="H6" l="1"/>
  <c r="K330"/>
  <c r="K329" s="1"/>
  <c r="K328" s="1"/>
  <c r="K327" s="1"/>
  <c r="K255" s="1"/>
  <c r="K224" s="1"/>
  <c r="K6" s="1"/>
  <c r="P6"/>
  <c r="N6"/>
  <c r="I330"/>
  <c r="I329" s="1"/>
  <c r="I328" s="1"/>
  <c r="I327" s="1"/>
  <c r="I255" s="1"/>
  <c r="I224" s="1"/>
  <c r="I6" s="1"/>
  <c r="Q330" l="1"/>
  <c r="Q329" s="1"/>
  <c r="Q328" s="1"/>
  <c r="Q327" s="1"/>
  <c r="Q255" s="1"/>
  <c r="Q224" s="1"/>
  <c r="Q6" s="1"/>
  <c r="L330"/>
  <c r="L329" s="1"/>
  <c r="L328" s="1"/>
  <c r="L327" s="1"/>
  <c r="L255" s="1"/>
  <c r="L224" s="1"/>
  <c r="L6" s="1"/>
  <c r="G330"/>
  <c r="G329" s="1"/>
  <c r="G328" s="1"/>
  <c r="G327" s="1"/>
  <c r="G255" s="1"/>
  <c r="G224" s="1"/>
  <c r="G6" s="1"/>
</calcChain>
</file>

<file path=xl/sharedStrings.xml><?xml version="1.0" encoding="utf-8"?>
<sst xmlns="http://schemas.openxmlformats.org/spreadsheetml/2006/main" count="1949" uniqueCount="299">
  <si>
    <t/>
  </si>
  <si>
    <t>Рубли</t>
  </si>
  <si>
    <t>Наименование</t>
  </si>
  <si>
    <t>ВЕД</t>
  </si>
  <si>
    <t>РЗ</t>
  </si>
  <si>
    <t>ПР</t>
  </si>
  <si>
    <t>ЦСР</t>
  </si>
  <si>
    <t>ВР</t>
  </si>
  <si>
    <t>Администрация муниципального образования "Город Мирный" Мирнинского района Республики Саха (Якутия)</t>
  </si>
  <si>
    <t>801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</si>
  <si>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</si>
  <si>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</si>
  <si>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</si>
  <si>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</si>
  <si>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</si>
  <si>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</si>
  <si>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</si>
  <si>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Расходы на содержание органов местного самоуправления</t>
  </si>
  <si>
    <t>99 1 00 11410</t>
  </si>
  <si>
    <t>Расходы на выплаты персоналу</t>
  </si>
  <si>
    <t>100</t>
  </si>
  <si>
    <t>Закупка товаров, работ и услуг для гос.нужд</t>
  </si>
  <si>
    <t>200</t>
  </si>
  <si>
    <t>Депутаты представительного органа муниципального образования</t>
  </si>
  <si>
    <t>99 1 00 11720</t>
  </si>
  <si>
    <t>Муниципальное учреждение "Мирнинский городской Совет"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</si>
  <si>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</si>
  <si>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</si>
  <si>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</si>
  <si>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99 1 00 11600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</si>
  <si>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</si>
  <si>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</si>
  <si>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</si>
  <si>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</si>
  <si>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</si>
  <si>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</si>
  <si>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Создание условий для развития и сохранения кадрового потенциала</t>
  </si>
  <si>
    <t>27 4 00 10020</t>
  </si>
  <si>
    <t>Бюдж.инвестиции</t>
  </si>
  <si>
    <t>400</t>
  </si>
  <si>
    <t>Иные бюджетные ассигнования</t>
  </si>
  <si>
    <t>800</t>
  </si>
  <si>
    <t>Резервные фонды</t>
  </si>
  <si>
    <t>11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</si>
  <si>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</si>
  <si>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</si>
  <si>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</si>
  <si>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</si>
  <si>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Резервный фонд на предупреждение и ликвидацию чрезвычайных ситуаций и стихийных бедствий</t>
  </si>
  <si>
    <t>99 5 00 71200</t>
  </si>
  <si>
    <t>Другие общегосударственные вопросы</t>
  </si>
  <si>
    <t>13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</si>
  <si>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</si>
  <si>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</si>
  <si>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</si>
  <si>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</si>
  <si>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</si>
  <si>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</si>
  <si>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Оценка имущества для принятия управленческих решений</t>
  </si>
  <si>
    <t>31 2 00 10030</t>
  </si>
  <si>
    <t>Страхование объектов муниципальной собственности</t>
  </si>
  <si>
    <t>31 2 00 10040</t>
  </si>
  <si>
    <t>Содержание муниципального жилищного фонда</t>
  </si>
  <si>
    <t>31 2 00 10060</t>
  </si>
  <si>
    <t>Развитие системы управления земельными ресурсами</t>
  </si>
  <si>
    <t>31 4 00 00000</t>
  </si>
  <si>
    <t>Формирование собственности муниципальных образований на земельные участки</t>
  </si>
  <si>
    <t>31 4 00 10010</t>
  </si>
  <si>
    <t>Расходы на исполнение судебных решений о взыскании из бюджета по искам юридических и физических лиц</t>
  </si>
  <si>
    <t>99 5 00 91017</t>
  </si>
  <si>
    <t>Выполнение других обязательств муниципальных образований</t>
  </si>
  <si>
    <t>99 5 00 91019</t>
  </si>
  <si>
    <t>Социальное обеспечение и иные выплаты населению</t>
  </si>
  <si>
    <t>300</t>
  </si>
  <si>
    <t>Условно утвержденные расходы</t>
  </si>
  <si>
    <t>99 9 00 00000</t>
  </si>
  <si>
    <t>Другие вопросы в области национальной безопасности и правоохранительной деятельности</t>
  </si>
  <si>
    <t>14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</si>
  <si>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</si>
  <si>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</si>
  <si>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</si>
  <si>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</si>
  <si>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</si>
  <si>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</si>
  <si>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Расходы по обеспечению противопожарной и антитеррористической безопасности</t>
  </si>
  <si>
    <t>99 5 00 91004</t>
  </si>
  <si>
    <t>Межбюджетные трансферты</t>
  </si>
  <si>
    <t>500</t>
  </si>
  <si>
    <t>Расходы в области дорожно-транспортного комплекса</t>
  </si>
  <si>
    <t>99 5 00 91008</t>
  </si>
  <si>
    <t>Транспорт</t>
  </si>
  <si>
    <t>08</t>
  </si>
  <si>
    <t>Другие вопросы в области национальной экономики</t>
  </si>
  <si>
    <t>12</t>
  </si>
  <si>
    <t>Обеспечение качественным жильем и повышение качества жилищно-коммунальных услуг</t>
  </si>
  <si>
    <t>20 0 00 00000</t>
  </si>
  <si>
    <t>Подпрограмма "Реализация градостроительной политики, развитие и освоение территорий"</t>
  </si>
  <si>
    <t>20 2 00 00000</t>
  </si>
  <si>
    <t>Подготовка документов территориального планирования муниципальных образований</t>
  </si>
  <si>
    <t>20 2 00 10010</t>
  </si>
  <si>
    <t>Развитие предпринимательства</t>
  </si>
  <si>
    <t>26 0 00 00000</t>
  </si>
  <si>
    <t>26 3 00 00000</t>
  </si>
  <si>
    <t>Поддержка субъектов малого и среднего предпринимательства</t>
  </si>
  <si>
    <t>26 3 00 10010</t>
  </si>
  <si>
    <t>Предоставление грантов начинающим субъектам малого предпринимательства</t>
  </si>
  <si>
    <t>26 3 00 1005Г</t>
  </si>
  <si>
    <t>05</t>
  </si>
  <si>
    <t>Жилищное хозяйство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</si>
  <si>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</si>
  <si>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20 2 00 S4001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</si>
  <si>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</si>
  <si>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</si>
  <si>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 (за счет средств МБ)</t>
  </si>
  <si>
    <t>20 3 00 S4003</t>
  </si>
  <si>
    <t>10</t>
  </si>
  <si>
    <t>Пенсионное обеспечение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</si>
  <si>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</si>
  <si>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</si>
  <si>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</si>
  <si>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</si>
  <si>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Ежемесячные доплаты к трудовой пенсии лицам, замещавшим муниципальные должности и должности муниципальной службы</t>
  </si>
  <si>
    <t>15 3 00 71010</t>
  </si>
  <si>
    <t>Социальное обеспечение населения</t>
  </si>
  <si>
    <t>Расходы на обеспечение деятельности (оказание услуг) муниципальных учреждений</t>
  </si>
  <si>
    <t>15 1 00 22001</t>
  </si>
  <si>
    <t>Поддержка социально ориентированных некоммерческих организаций</t>
  </si>
  <si>
    <t>15 2 00 10010</t>
  </si>
  <si>
    <t>Предост.субсидий фед.БУ, АУ и иным некомм.орг-циям</t>
  </si>
  <si>
    <t>600</t>
  </si>
  <si>
    <t>Меры социальной поддержки для семьи и детей из малообеспеченных и многодетных семей</t>
  </si>
  <si>
    <t>15 3 00 10010</t>
  </si>
  <si>
    <t>Поддержка ветеранов войны, тыла и труда</t>
  </si>
  <si>
    <t>15 3 00 10020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</si>
  <si>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</si>
  <si>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</si>
  <si>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Обеспечение жильем работников муниципальной бюджетной сферы</t>
  </si>
  <si>
    <t>20 3 00 10010</t>
  </si>
  <si>
    <t>Предоставление жилых помещений по договорам социального найма муниципального жилищного фонда</t>
  </si>
  <si>
    <t>20 3 00 10020</t>
  </si>
  <si>
    <t>20 3 00 S4001</t>
  </si>
  <si>
    <t>Другие вопросы в области средств массовой информации</t>
  </si>
  <si>
    <t>Развитие информационного общества</t>
  </si>
  <si>
    <t>21 0 00 00000</t>
  </si>
  <si>
    <t>Развитие печатных и электронных средств массовой информации</t>
  </si>
  <si>
    <t>21 4 00 00000</t>
  </si>
  <si>
    <t>Развитие теле-, радиовещания и периодической печати</t>
  </si>
  <si>
    <t>21 4 00 10010</t>
  </si>
  <si>
    <t>Прочие межбюджетные трансферты общего характера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</si>
  <si>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</si>
  <si>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</si>
  <si>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</si>
  <si>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</si>
  <si>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</si>
  <si>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</si>
  <si>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99 1 00 11740</t>
  </si>
  <si>
    <t>Муниципальное учреждение "Контрольно-счётная палата"</t>
  </si>
  <si>
    <t>Сельское хозяйство и рыболовство</t>
  </si>
  <si>
    <t>Развитие сельского хозяйства и регулирование рынков сельскохозяйственной продукции, сырья и продовольствия</t>
  </si>
  <si>
    <t>25 0 00 00000</t>
  </si>
  <si>
    <t>Обеспечение общих условий функционирования отраслей агропромышленного комплекса</t>
  </si>
  <si>
    <t>25 В 00 00000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</si>
  <si>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</si>
  <si>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25 В 00 63360</t>
  </si>
  <si>
    <t>Дорожное хозяйство (дорожные фонды)</t>
  </si>
  <si>
    <t>09</t>
  </si>
  <si>
    <t>Развитие транспортного комплекса</t>
  </si>
  <si>
    <t>18 0 00 00000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</si>
  <si>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</si>
  <si>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</si>
  <si>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</si>
  <si>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</si>
  <si>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Формирование современной городской среды на территории Республики Саха (Якутия)</t>
  </si>
  <si>
    <t>23 0 00 00000</t>
  </si>
  <si>
    <t>Содействие развитию благоустройства территорий муниципальных образований</t>
  </si>
  <si>
    <t>23 2 00 00000</t>
  </si>
  <si>
    <t>Текущее содержание и ремонт дорог общего пользования и инженерных сооружений на них</t>
  </si>
  <si>
    <t>23 2 00 10070</t>
  </si>
  <si>
    <t>Содержание и капитальный ремонт дворовых территорий многоквартирных домов, проездов к дворовым территориям многоквартиных домов</t>
  </si>
  <si>
    <t>23 2 00 10080</t>
  </si>
  <si>
    <t>Капитальный ремонт общего имущества многоквартирных домов</t>
  </si>
  <si>
    <t>20 4 00 00000</t>
  </si>
  <si>
    <t>Текущий и капитальный ремонт муниципального жилищного фонда</t>
  </si>
  <si>
    <t>20 4 00 10030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</si>
  <si>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</si>
  <si>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</si>
  <si>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</si>
  <si>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</si>
  <si>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Коммунальное хозяйство</t>
  </si>
  <si>
    <t>Подпрограмма "Модернизация объектов коммунальной инфраструктуры"</t>
  </si>
  <si>
    <t>20 7 00 00000</t>
  </si>
  <si>
    <t>Развитие систем коммунальной инфраструктуры муниципальных образований</t>
  </si>
  <si>
    <t>20 7 00 10010</t>
  </si>
  <si>
    <t>Благоустройство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</si>
  <si>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</si>
  <si>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</si>
  <si>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</si>
  <si>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23 1 00 L5550</t>
  </si>
  <si>
    <t>Содержание и ремонт объектов уличного освещения</t>
  </si>
  <si>
    <t>23 2 00 10010</t>
  </si>
  <si>
    <t>Очистка и посадка зеленой зоны</t>
  </si>
  <si>
    <t>23 2 00 10020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</si>
  <si>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</si>
  <si>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</si>
  <si>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</si>
  <si>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</si>
  <si>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Прочие мероприятия по благоустройству</t>
  </si>
  <si>
    <t>23 2 00 10090</t>
  </si>
  <si>
    <t>23 2 00 S2650</t>
  </si>
  <si>
    <t>Другие вопросы в области жилищно-коммунального хозяйства</t>
  </si>
  <si>
    <t>Обеспечивающая подпрограмма</t>
  </si>
  <si>
    <t>18 1 00 00000</t>
  </si>
  <si>
    <t>18 1 00 22001</t>
  </si>
  <si>
    <t>Муниципальное учреждение "Управление Жилищно-Коммунального Хозяйства"</t>
  </si>
  <si>
    <t>07</t>
  </si>
  <si>
    <t>Молодежная политика и оздоровление детей</t>
  </si>
  <si>
    <t>Другие вопросы в области культуры, кинематографии</t>
  </si>
  <si>
    <t>Другие вопросы в области физической культуры и спорта</t>
  </si>
  <si>
    <t>14 1 00 00000</t>
  </si>
  <si>
    <t>14 1 00 22001</t>
  </si>
  <si>
    <t>Другие вопросы в области социальной политики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</si>
  <si>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</si>
  <si>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</si>
  <si>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</si>
  <si>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</si>
  <si>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</si>
  <si>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</si>
  <si>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</si>
  <si>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МБТ ОБЩЕГО ХАРАКТЕРА БЮДЖЕТАМ бюджетной системы РФ</t>
  </si>
  <si>
    <t>СОЦИАЛЬНАЯ ПОЛИТИКА</t>
  </si>
  <si>
    <t>ОБЩЕГОСУДАРСТВЕННЫЕ ВОПРОСЫ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</si>
  <si>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</si>
  <si>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25 Т 00 63360</t>
  </si>
  <si>
    <t>25 Т 00 00000</t>
  </si>
  <si>
    <t>Ветеринарное обеспечение</t>
  </si>
  <si>
    <t>20 3 00 1003 0</t>
  </si>
  <si>
    <t>Переселение граждан из аварийного жилищного фонда</t>
  </si>
  <si>
    <t>20 2 00 S470 1</t>
  </si>
  <si>
    <t>23 2 F2 5555 0</t>
  </si>
  <si>
    <t>Реализация программ формирования современной городской среды</t>
  </si>
  <si>
    <t>20 3 00 L4970</t>
  </si>
  <si>
    <t>Общегосударственные  вопросы</t>
  </si>
  <si>
    <t>Закупка товаров, работ и услуг для обеспечения государственных (муниципальных) нужд</t>
  </si>
  <si>
    <t>23 2 F2 Д555 0</t>
  </si>
  <si>
    <t>Реализация программ формирования современной городской среды (за счет МБ)</t>
  </si>
  <si>
    <t>20 2 00 6470 1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</si>
  <si>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</si>
  <si>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23 2 00 62650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</si>
  <si>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</si>
  <si>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11 1 00 00000</t>
  </si>
  <si>
    <t>11 1 00 22001</t>
  </si>
  <si>
    <t>Предоставление субсидий бюджетным, автономным учреждениям и иным некоммерческим организациям</t>
  </si>
  <si>
    <t>10 1 00 00000</t>
  </si>
  <si>
    <t>10 1 00 22001</t>
  </si>
  <si>
    <t>Реализация мероприятий по обеспечению жильем молодых семей</t>
  </si>
  <si>
    <t>Ведомственная структура расходов бюджета на 2022 год и на плановый период 2023 и 2024 годов</t>
  </si>
  <si>
    <t>Обеспечение проведения выборов и референдумов</t>
  </si>
  <si>
    <t>Проведение выборов и референдумов</t>
  </si>
  <si>
    <t>99 3 00 00000</t>
  </si>
  <si>
    <t>Проведение выборов и референдумов депутатов</t>
  </si>
  <si>
    <t>Проведение выборов и референдумов глав</t>
  </si>
  <si>
    <t>Профилактика правонарушений</t>
  </si>
  <si>
    <t>17 0 00 0000 0</t>
  </si>
  <si>
    <t xml:space="preserve">Повышение эффективности работы в сфере профилактики правонарушений </t>
  </si>
  <si>
    <t>17 1 00 0000 0</t>
  </si>
  <si>
    <t xml:space="preserve">Содействие развитию добровольных народных дружин в сфере охраны общественного порядка </t>
  </si>
  <si>
    <t>17 1 00 1004 0</t>
  </si>
  <si>
    <t xml:space="preserve">Социальное обеспечение и иные выплаты населению
</t>
  </si>
  <si>
    <t xml:space="preserve">Безопасность дорожного движения </t>
  </si>
  <si>
    <t>17 2 00 0000 0</t>
  </si>
  <si>
    <t>Организация профилактических мероприятий по пропаганде безопасности дорожного движения</t>
  </si>
  <si>
    <t>17 2 00 1001 0</t>
  </si>
  <si>
    <t>Совершенствование управления собственностью</t>
  </si>
  <si>
    <t>31 3 00 00000</t>
  </si>
  <si>
    <t>Совершенствование управления имуществом</t>
  </si>
  <si>
    <t>31 3 00 10010</t>
  </si>
  <si>
    <t>Выполнение работ по технологическому присоединению к электрическим сетям электроснабжения застройки индивидуальных жилых домов</t>
  </si>
  <si>
    <t>17 4 00 0000 0</t>
  </si>
  <si>
    <t>17 4 00 1002 0</t>
  </si>
  <si>
    <t>Профилактика экстремизма и терроризма</t>
  </si>
  <si>
    <t>Приобретение, установка и обслуживание систем безопасности</t>
  </si>
  <si>
    <t>99 3 00 10010</t>
  </si>
  <si>
    <t>99 3 00 10020</t>
  </si>
  <si>
    <t>Сумма уточнений (+/-)</t>
  </si>
  <si>
    <t>Реализация мероприятий муниципальной программы формирования современной городской среды</t>
  </si>
  <si>
    <t>23 2 00 10100</t>
  </si>
  <si>
    <t xml:space="preserve">Развитие и освоение территорий в целях стимулирования строительства индивидуальных жилых домов </t>
  </si>
  <si>
    <t>20 2 00 64701</t>
  </si>
  <si>
    <t>20 2 00 S4701</t>
  </si>
  <si>
    <t>20 2 00 10030</t>
  </si>
  <si>
    <t>20 2 00 10020</t>
  </si>
  <si>
    <t>АДМИНИСТРАЦИЯ МО "ГОРОД МИРНЫЙ" МИРНИНСКОГО РАЙОНА РЕСПУБЛИКИ САХА (ЯКУТИЯ)</t>
  </si>
  <si>
    <t>2022 год</t>
  </si>
  <si>
    <t>2022 год с уточнениями</t>
  </si>
  <si>
    <t>2023 год</t>
  </si>
  <si>
    <t>2023 год с уточнениями</t>
  </si>
  <si>
    <t>2024 год</t>
  </si>
  <si>
    <t>2024 год с уточнениями</t>
  </si>
  <si>
    <t>Приложение 5
к решению городского Совета
от 27.06.2022 № IV - 58-1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</si>
</sst>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0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Arial Cyr"/>
      <family val="2"/>
    </font>
    <font>
      <sz val="8"/>
      <name val="Times New Roman"/>
      <family val="2"/>
    </font>
    <font>
      <sz val="10"/>
      <name val="Times New Roman"/>
      <family val="2"/>
    </font>
    <font>
      <b/>
      <i/>
      <sz val="9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>
      <alignment vertical="top" wrapText="1"/>
    </xf>
    <xf numFmtId="0" fontId="8" fillId="0" borderId="0"/>
    <xf numFmtId="0" fontId="9" fillId="0" borderId="0"/>
    <xf numFmtId="0" fontId="8" fillId="0" borderId="0"/>
    <xf numFmtId="0" fontId="15" fillId="4" borderId="4"/>
    <xf numFmtId="4" fontId="15" fillId="0" borderId="1">
      <alignment horizontal="right" vertical="top" shrinkToFit="1"/>
    </xf>
  </cellStyleXfs>
  <cellXfs count="102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0" fillId="0" borderId="0" xfId="0">
      <alignment vertical="top" wrapText="1"/>
    </xf>
    <xf numFmtId="0" fontId="2" fillId="0" borderId="1" xfId="0" applyFont="1" applyBorder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0" fillId="0" borderId="1" xfId="0" applyBorder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Fill="1" applyBorder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>
      <alignment vertical="top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right" vertical="top" wrapText="1"/>
    </xf>
    <xf numFmtId="0" fontId="0" fillId="3" borderId="1" xfId="0" applyFill="1" applyBorder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right" vertical="top" wrapText="1"/>
    </xf>
    <xf numFmtId="0" fontId="0" fillId="3" borderId="0" xfId="0" applyFill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11" fillId="3" borderId="3" xfId="3" applyFont="1" applyFill="1" applyBorder="1" applyAlignment="1">
      <alignment wrapText="1"/>
    </xf>
    <xf numFmtId="49" fontId="12" fillId="0" borderId="3" xfId="0" applyNumberFormat="1" applyFont="1" applyBorder="1" applyAlignment="1">
      <alignment horizontal="center"/>
    </xf>
    <xf numFmtId="49" fontId="11" fillId="3" borderId="3" xfId="1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3" borderId="3" xfId="1" applyNumberFormat="1" applyFont="1" applyFill="1" applyBorder="1" applyAlignment="1">
      <alignment horizontal="center"/>
    </xf>
    <xf numFmtId="0" fontId="10" fillId="0" borderId="3" xfId="0" applyFont="1" applyBorder="1" applyAlignment="1">
      <alignment wrapText="1"/>
    </xf>
    <xf numFmtId="0" fontId="6" fillId="0" borderId="1" xfId="0" applyFont="1" applyBorder="1">
      <alignment vertical="top" wrapText="1"/>
    </xf>
    <xf numFmtId="0" fontId="12" fillId="0" borderId="1" xfId="0" applyFont="1" applyBorder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1" fillId="0" borderId="1" xfId="0" applyFont="1" applyBorder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2" fillId="3" borderId="1" xfId="0" applyFont="1" applyFill="1" applyBorder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right" vertical="top" wrapText="1"/>
    </xf>
    <xf numFmtId="4" fontId="0" fillId="3" borderId="1" xfId="0" applyNumberFormat="1" applyFill="1" applyBorder="1" applyAlignment="1">
      <alignment horizontal="right" vertical="top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top" wrapText="1"/>
    </xf>
    <xf numFmtId="4" fontId="0" fillId="3" borderId="7" xfId="0" applyNumberFormat="1" applyFont="1" applyFill="1" applyBorder="1" applyAlignment="1">
      <alignment horizontal="right" vertical="top" wrapText="1"/>
    </xf>
    <xf numFmtId="4" fontId="17" fillId="3" borderId="1" xfId="0" applyNumberFormat="1" applyFont="1" applyFill="1" applyBorder="1" applyAlignment="1">
      <alignment horizontal="right" vertical="top" wrapText="1"/>
    </xf>
    <xf numFmtId="4" fontId="0" fillId="3" borderId="5" xfId="0" applyNumberFormat="1" applyFont="1" applyFill="1" applyBorder="1" applyAlignment="1">
      <alignment horizontal="right" vertical="top" wrapText="1"/>
    </xf>
    <xf numFmtId="4" fontId="0" fillId="3" borderId="3" xfId="0" applyNumberFormat="1" applyFont="1" applyFill="1" applyBorder="1" applyAlignment="1">
      <alignment horizontal="right" vertical="top" wrapText="1"/>
    </xf>
    <xf numFmtId="0" fontId="0" fillId="0" borderId="5" xfId="0" applyBorder="1" applyAlignment="1">
      <alignment horizontal="center" vertical="top" wrapText="1"/>
    </xf>
    <xf numFmtId="4" fontId="0" fillId="3" borderId="8" xfId="0" applyNumberFormat="1" applyFont="1" applyFill="1" applyBorder="1" applyAlignment="1">
      <alignment horizontal="right" vertical="top" wrapText="1"/>
    </xf>
    <xf numFmtId="164" fontId="0" fillId="0" borderId="3" xfId="0" applyNumberFormat="1" applyBorder="1">
      <alignment vertical="top" wrapText="1"/>
    </xf>
    <xf numFmtId="4" fontId="0" fillId="3" borderId="9" xfId="0" applyNumberFormat="1" applyFont="1" applyFill="1" applyBorder="1" applyAlignment="1">
      <alignment horizontal="right" vertical="top" wrapText="1"/>
    </xf>
    <xf numFmtId="4" fontId="0" fillId="3" borderId="6" xfId="0" applyNumberFormat="1" applyFont="1" applyFill="1" applyBorder="1" applyAlignment="1">
      <alignment horizontal="right" vertical="top" wrapText="1"/>
    </xf>
    <xf numFmtId="164" fontId="0" fillId="3" borderId="0" xfId="0" applyNumberFormat="1" applyFill="1">
      <alignment vertical="top" wrapText="1"/>
    </xf>
    <xf numFmtId="164" fontId="0" fillId="3" borderId="3" xfId="0" applyNumberFormat="1" applyFill="1" applyBorder="1">
      <alignment vertical="top" wrapText="1"/>
    </xf>
    <xf numFmtId="0" fontId="13" fillId="3" borderId="1" xfId="0" applyFont="1" applyFill="1" applyBorder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4" fontId="0" fillId="3" borderId="10" xfId="0" applyNumberFormat="1" applyFont="1" applyFill="1" applyBorder="1" applyAlignment="1">
      <alignment horizontal="right" vertical="top" wrapText="1"/>
    </xf>
    <xf numFmtId="4" fontId="0" fillId="3" borderId="11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vertical="top" wrapText="1"/>
    </xf>
    <xf numFmtId="0" fontId="1" fillId="3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</cellXfs>
  <cellStyles count="6">
    <cellStyle name="xl35" xfId="4"/>
    <cellStyle name="xl40" xfId="5"/>
    <cellStyle name="Обычный" xfId="0" builtinId="0"/>
    <cellStyle name="Обычный 10" xfId="3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5"/>
  <sheetViews>
    <sheetView tabSelected="1" zoomScale="90" zoomScaleNormal="90" workbookViewId="0">
      <selection activeCell="A2" sqref="A2:S2"/>
    </sheetView>
  </sheetViews>
  <sheetFormatPr defaultRowHeight="12.75" outlineLevelRow="3" outlineLevelCol="1"/>
  <cols>
    <col min="1" max="1" width="81" customWidth="1"/>
    <col min="2" max="2" width="9" customWidth="1"/>
    <col min="3" max="3" width="9.1640625" customWidth="1"/>
    <col min="4" max="4" width="9.33203125" customWidth="1"/>
    <col min="5" max="5" width="15.83203125" customWidth="1"/>
    <col min="6" max="6" width="9.33203125" customWidth="1"/>
    <col min="7" max="7" width="18.5" hidden="1" customWidth="1" outlineLevel="1"/>
    <col min="8" max="8" width="19.5" hidden="1" customWidth="1" outlineLevel="1"/>
    <col min="9" max="9" width="21.1640625" customWidth="1" collapsed="1"/>
    <col min="10" max="11" width="21.1640625" customWidth="1"/>
    <col min="12" max="13" width="20" hidden="1" customWidth="1" outlineLevel="1"/>
    <col min="14" max="14" width="20" customWidth="1" collapsed="1"/>
    <col min="15" max="16" width="20" hidden="1" customWidth="1" outlineLevel="1"/>
    <col min="17" max="17" width="20" customWidth="1" collapsed="1"/>
    <col min="18" max="19" width="20" hidden="1" customWidth="1" outlineLevel="1"/>
    <col min="20" max="20" width="19" customWidth="1" collapsed="1"/>
  </cols>
  <sheetData>
    <row r="1" spans="1:20">
      <c r="A1" t="s">
        <v>0</v>
      </c>
    </row>
    <row r="2" spans="1:20" ht="42.2" customHeight="1">
      <c r="A2" s="100" t="s">
        <v>298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20" ht="32.25" customHeight="1">
      <c r="A3" s="99" t="s">
        <v>255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20" ht="18" customHeight="1">
      <c r="A4" s="101" t="s">
        <v>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20" ht="30.7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91" t="s">
        <v>292</v>
      </c>
      <c r="H5" s="91" t="s">
        <v>283</v>
      </c>
      <c r="I5" s="91" t="s">
        <v>292</v>
      </c>
      <c r="J5" s="91" t="s">
        <v>283</v>
      </c>
      <c r="K5" s="98" t="s">
        <v>293</v>
      </c>
      <c r="L5" s="91" t="s">
        <v>294</v>
      </c>
      <c r="M5" s="91" t="s">
        <v>283</v>
      </c>
      <c r="N5" s="91" t="s">
        <v>294</v>
      </c>
      <c r="O5" s="91" t="s">
        <v>283</v>
      </c>
      <c r="P5" s="98" t="s">
        <v>295</v>
      </c>
      <c r="Q5" s="91" t="s">
        <v>296</v>
      </c>
      <c r="R5" s="91" t="s">
        <v>283</v>
      </c>
      <c r="S5" s="98" t="s">
        <v>297</v>
      </c>
    </row>
    <row r="6" spans="1:20" ht="32.25" customHeight="1">
      <c r="A6" s="2" t="s">
        <v>291</v>
      </c>
      <c r="B6" s="1">
        <v>801</v>
      </c>
      <c r="C6" s="1" t="s">
        <v>0</v>
      </c>
      <c r="D6" s="1" t="s">
        <v>0</v>
      </c>
      <c r="E6" s="1" t="s">
        <v>0</v>
      </c>
      <c r="F6" s="1" t="s">
        <v>0</v>
      </c>
      <c r="G6" s="55">
        <f t="shared" ref="G6:S6" si="0">G7+G18+G214+G224</f>
        <v>593967182.86982548</v>
      </c>
      <c r="H6" s="55">
        <f t="shared" si="0"/>
        <v>464385760.94999993</v>
      </c>
      <c r="I6" s="55">
        <f t="shared" si="0"/>
        <v>1058352943.8198254</v>
      </c>
      <c r="J6" s="55">
        <f t="shared" ref="J6:K6" si="1">J7+J18+J214+J224</f>
        <v>16835540.949999996</v>
      </c>
      <c r="K6" s="55">
        <f t="shared" si="1"/>
        <v>1075188484.7698255</v>
      </c>
      <c r="L6" s="55">
        <f t="shared" si="0"/>
        <v>540025158.79217529</v>
      </c>
      <c r="M6" s="55">
        <f t="shared" si="0"/>
        <v>3103880.84</v>
      </c>
      <c r="N6" s="55">
        <f t="shared" si="0"/>
        <v>541879735.18217528</v>
      </c>
      <c r="O6" s="55">
        <f t="shared" ref="O6:P6" si="2">O7+O18+O214+O224</f>
        <v>0</v>
      </c>
      <c r="P6" s="55">
        <f t="shared" si="2"/>
        <v>541879735.18217528</v>
      </c>
      <c r="Q6" s="77">
        <f t="shared" si="0"/>
        <v>558384907.0076983</v>
      </c>
      <c r="R6" s="55">
        <f t="shared" si="0"/>
        <v>0</v>
      </c>
      <c r="S6" s="55">
        <f t="shared" si="0"/>
        <v>558384907.0076983</v>
      </c>
      <c r="T6" s="97"/>
    </row>
    <row r="7" spans="1:20" ht="15" customHeight="1">
      <c r="A7" s="32" t="s">
        <v>25</v>
      </c>
      <c r="B7" s="12" t="s">
        <v>9</v>
      </c>
      <c r="C7" s="12" t="s">
        <v>0</v>
      </c>
      <c r="D7" s="12" t="s">
        <v>0</v>
      </c>
      <c r="E7" s="12" t="s">
        <v>0</v>
      </c>
      <c r="F7" s="12" t="s">
        <v>0</v>
      </c>
      <c r="G7" s="13">
        <f t="shared" ref="G7:K10" si="3">G8</f>
        <v>4605517.04</v>
      </c>
      <c r="H7" s="13">
        <f t="shared" si="3"/>
        <v>0</v>
      </c>
      <c r="I7" s="13">
        <f t="shared" si="3"/>
        <v>4605517.04</v>
      </c>
      <c r="J7" s="13">
        <f t="shared" si="3"/>
        <v>0</v>
      </c>
      <c r="K7" s="13">
        <f t="shared" si="3"/>
        <v>4605517.04</v>
      </c>
      <c r="L7" s="13">
        <f t="shared" ref="L7:S10" si="4">L8</f>
        <v>5246672.7699999996</v>
      </c>
      <c r="M7" s="13">
        <f t="shared" si="4"/>
        <v>0</v>
      </c>
      <c r="N7" s="13">
        <f t="shared" si="4"/>
        <v>5246672.7699999996</v>
      </c>
      <c r="O7" s="13">
        <f t="shared" si="4"/>
        <v>0</v>
      </c>
      <c r="P7" s="13">
        <f t="shared" si="4"/>
        <v>5246672.7699999996</v>
      </c>
      <c r="Q7" s="13">
        <f t="shared" si="4"/>
        <v>5403552.8799999999</v>
      </c>
      <c r="R7" s="13">
        <f t="shared" si="4"/>
        <v>0</v>
      </c>
      <c r="S7" s="13">
        <f t="shared" si="4"/>
        <v>5403552.8799999999</v>
      </c>
    </row>
    <row r="8" spans="1:20">
      <c r="A8" s="14" t="s">
        <v>230</v>
      </c>
      <c r="B8" s="4" t="s">
        <v>9</v>
      </c>
      <c r="C8" s="4" t="s">
        <v>10</v>
      </c>
      <c r="D8" s="4" t="s">
        <v>0</v>
      </c>
      <c r="E8" s="4" t="s">
        <v>0</v>
      </c>
      <c r="F8" s="4" t="s">
        <v>0</v>
      </c>
      <c r="G8" s="5">
        <f t="shared" si="3"/>
        <v>4605517.04</v>
      </c>
      <c r="H8" s="5">
        <f t="shared" si="3"/>
        <v>0</v>
      </c>
      <c r="I8" s="5">
        <f t="shared" si="3"/>
        <v>4605517.04</v>
      </c>
      <c r="J8" s="5">
        <f t="shared" si="3"/>
        <v>0</v>
      </c>
      <c r="K8" s="5">
        <f t="shared" si="3"/>
        <v>4605517.04</v>
      </c>
      <c r="L8" s="5">
        <f t="shared" si="4"/>
        <v>5246672.7699999996</v>
      </c>
      <c r="M8" s="5">
        <f t="shared" si="4"/>
        <v>0</v>
      </c>
      <c r="N8" s="5">
        <f t="shared" si="4"/>
        <v>5246672.7699999996</v>
      </c>
      <c r="O8" s="5">
        <f t="shared" si="4"/>
        <v>0</v>
      </c>
      <c r="P8" s="5">
        <f t="shared" si="4"/>
        <v>5246672.7699999996</v>
      </c>
      <c r="Q8" s="5">
        <f t="shared" si="4"/>
        <v>5403552.8799999999</v>
      </c>
      <c r="R8" s="5">
        <f t="shared" si="4"/>
        <v>0</v>
      </c>
      <c r="S8" s="5">
        <f t="shared" si="4"/>
        <v>5403552.8799999999</v>
      </c>
    </row>
    <row r="9" spans="1:20" ht="25.5" customHeight="1">
      <c r="A9" s="3" t="s">
        <v>11</v>
      </c>
      <c r="B9" s="4" t="s">
        <v>9</v>
      </c>
      <c r="C9" s="4" t="s">
        <v>10</v>
      </c>
      <c r="D9" s="4" t="s">
        <v>12</v>
      </c>
      <c r="E9" s="4" t="s">
        <v>0</v>
      </c>
      <c r="F9" s="4" t="s">
        <v>0</v>
      </c>
      <c r="G9" s="5">
        <f t="shared" si="3"/>
        <v>4605517.04</v>
      </c>
      <c r="H9" s="5">
        <f t="shared" si="3"/>
        <v>0</v>
      </c>
      <c r="I9" s="5">
        <f t="shared" si="3"/>
        <v>4605517.04</v>
      </c>
      <c r="J9" s="5">
        <f t="shared" si="3"/>
        <v>0</v>
      </c>
      <c r="K9" s="5">
        <f t="shared" si="3"/>
        <v>4605517.04</v>
      </c>
      <c r="L9" s="5">
        <f t="shared" si="4"/>
        <v>5246672.7699999996</v>
      </c>
      <c r="M9" s="5">
        <f t="shared" si="4"/>
        <v>0</v>
      </c>
      <c r="N9" s="5">
        <f t="shared" si="4"/>
        <v>5246672.7699999996</v>
      </c>
      <c r="O9" s="5">
        <f t="shared" si="4"/>
        <v>0</v>
      </c>
      <c r="P9" s="5">
        <f t="shared" si="4"/>
        <v>5246672.7699999996</v>
      </c>
      <c r="Q9" s="5">
        <f t="shared" si="4"/>
        <v>5403552.8799999999</v>
      </c>
      <c r="R9" s="5">
        <f t="shared" si="4"/>
        <v>0</v>
      </c>
      <c r="S9" s="5">
        <f t="shared" si="4"/>
        <v>5403552.8799999999</v>
      </c>
    </row>
    <row r="10" spans="1:20">
      <c r="A10" s="3" t="s">
        <v>13</v>
      </c>
      <c r="B10" s="4" t="s">
        <v>9</v>
      </c>
      <c r="C10" s="4" t="s">
        <v>10</v>
      </c>
      <c r="D10" s="4" t="s">
        <v>12</v>
      </c>
      <c r="E10" s="4" t="s">
        <v>14</v>
      </c>
      <c r="F10" s="4" t="s">
        <v>0</v>
      </c>
      <c r="G10" s="5">
        <f t="shared" si="3"/>
        <v>4605517.04</v>
      </c>
      <c r="H10" s="5">
        <f t="shared" si="3"/>
        <v>0</v>
      </c>
      <c r="I10" s="5">
        <f t="shared" si="3"/>
        <v>4605517.04</v>
      </c>
      <c r="J10" s="5">
        <f t="shared" si="3"/>
        <v>0</v>
      </c>
      <c r="K10" s="5">
        <f t="shared" si="3"/>
        <v>4605517.04</v>
      </c>
      <c r="L10" s="5">
        <f t="shared" si="4"/>
        <v>5246672.7699999996</v>
      </c>
      <c r="M10" s="5">
        <f t="shared" si="4"/>
        <v>0</v>
      </c>
      <c r="N10" s="5">
        <f t="shared" si="4"/>
        <v>5246672.7699999996</v>
      </c>
      <c r="O10" s="5">
        <f t="shared" si="4"/>
        <v>0</v>
      </c>
      <c r="P10" s="5">
        <f t="shared" si="4"/>
        <v>5246672.7699999996</v>
      </c>
      <c r="Q10" s="5">
        <f t="shared" si="4"/>
        <v>5403552.8799999999</v>
      </c>
      <c r="R10" s="5">
        <f t="shared" si="4"/>
        <v>0</v>
      </c>
      <c r="S10" s="5">
        <f t="shared" si="4"/>
        <v>5403552.8799999999</v>
      </c>
    </row>
    <row r="11" spans="1:20" ht="25.5">
      <c r="A11" s="3" t="s">
        <v>15</v>
      </c>
      <c r="B11" s="4" t="s">
        <v>9</v>
      </c>
      <c r="C11" s="4" t="s">
        <v>10</v>
      </c>
      <c r="D11" s="4" t="s">
        <v>12</v>
      </c>
      <c r="E11" s="4" t="s">
        <v>16</v>
      </c>
      <c r="F11" s="4" t="s">
        <v>0</v>
      </c>
      <c r="G11" s="5">
        <f t="shared" ref="G11:S11" si="5">G12+G15</f>
        <v>4605517.04</v>
      </c>
      <c r="H11" s="5">
        <f t="shared" si="5"/>
        <v>0</v>
      </c>
      <c r="I11" s="5">
        <f t="shared" si="5"/>
        <v>4605517.04</v>
      </c>
      <c r="J11" s="5">
        <f t="shared" ref="J11:K11" si="6">J12+J15</f>
        <v>0</v>
      </c>
      <c r="K11" s="5">
        <f t="shared" si="6"/>
        <v>4605517.04</v>
      </c>
      <c r="L11" s="5">
        <f t="shared" si="5"/>
        <v>5246672.7699999996</v>
      </c>
      <c r="M11" s="5">
        <f t="shared" si="5"/>
        <v>0</v>
      </c>
      <c r="N11" s="5">
        <f t="shared" si="5"/>
        <v>5246672.7699999996</v>
      </c>
      <c r="O11" s="5">
        <f t="shared" ref="O11:P11" si="7">O12+O15</f>
        <v>0</v>
      </c>
      <c r="P11" s="5">
        <f t="shared" si="7"/>
        <v>5246672.7699999996</v>
      </c>
      <c r="Q11" s="5">
        <f t="shared" si="5"/>
        <v>5403552.8799999999</v>
      </c>
      <c r="R11" s="5">
        <f t="shared" si="5"/>
        <v>0</v>
      </c>
      <c r="S11" s="5">
        <f t="shared" si="5"/>
        <v>5403552.8799999999</v>
      </c>
    </row>
    <row r="12" spans="1:20" ht="13.5">
      <c r="A12" s="6" t="s">
        <v>17</v>
      </c>
      <c r="B12" s="7" t="s">
        <v>9</v>
      </c>
      <c r="C12" s="7" t="s">
        <v>10</v>
      </c>
      <c r="D12" s="7" t="s">
        <v>12</v>
      </c>
      <c r="E12" s="7" t="s">
        <v>18</v>
      </c>
      <c r="F12" s="7" t="s">
        <v>0</v>
      </c>
      <c r="G12" s="8">
        <f t="shared" ref="G12:S12" si="8">G13+G14</f>
        <v>4417770.04</v>
      </c>
      <c r="H12" s="8">
        <f t="shared" si="8"/>
        <v>0</v>
      </c>
      <c r="I12" s="8">
        <f t="shared" si="8"/>
        <v>4417770.04</v>
      </c>
      <c r="J12" s="8">
        <f t="shared" ref="J12:K12" si="9">J13+J14</f>
        <v>0</v>
      </c>
      <c r="K12" s="8">
        <f t="shared" si="9"/>
        <v>4417770.04</v>
      </c>
      <c r="L12" s="8">
        <f t="shared" si="8"/>
        <v>4618908.7699999996</v>
      </c>
      <c r="M12" s="8">
        <f t="shared" si="8"/>
        <v>0</v>
      </c>
      <c r="N12" s="8">
        <f t="shared" si="8"/>
        <v>4618908.7699999996</v>
      </c>
      <c r="O12" s="8">
        <f t="shared" ref="O12:P12" si="10">O13+O14</f>
        <v>0</v>
      </c>
      <c r="P12" s="8">
        <f t="shared" si="10"/>
        <v>4618908.7699999996</v>
      </c>
      <c r="Q12" s="8">
        <f t="shared" si="8"/>
        <v>4756939.88</v>
      </c>
      <c r="R12" s="8">
        <f t="shared" si="8"/>
        <v>0</v>
      </c>
      <c r="S12" s="8">
        <f t="shared" si="8"/>
        <v>4756939.88</v>
      </c>
    </row>
    <row r="13" spans="1:20">
      <c r="A13" s="9" t="s">
        <v>19</v>
      </c>
      <c r="B13" s="10" t="s">
        <v>9</v>
      </c>
      <c r="C13" s="10" t="s">
        <v>10</v>
      </c>
      <c r="D13" s="10" t="s">
        <v>12</v>
      </c>
      <c r="E13" s="10" t="s">
        <v>18</v>
      </c>
      <c r="F13" s="10" t="s">
        <v>20</v>
      </c>
      <c r="G13" s="11">
        <v>4256969</v>
      </c>
      <c r="H13" s="11">
        <v>0</v>
      </c>
      <c r="I13" s="11">
        <f>G13+H13</f>
        <v>4256969</v>
      </c>
      <c r="J13" s="11">
        <v>0</v>
      </c>
      <c r="K13" s="11">
        <f>I13+J13</f>
        <v>4256969</v>
      </c>
      <c r="L13" s="11">
        <v>4490866</v>
      </c>
      <c r="M13" s="11">
        <v>0</v>
      </c>
      <c r="N13" s="11">
        <f>L13+M13</f>
        <v>4490866</v>
      </c>
      <c r="O13" s="11">
        <v>0</v>
      </c>
      <c r="P13" s="11">
        <f>N13+O13</f>
        <v>4490866</v>
      </c>
      <c r="Q13" s="11">
        <v>4625596</v>
      </c>
      <c r="R13" s="11">
        <v>0</v>
      </c>
      <c r="S13" s="11">
        <f>Q13+R13</f>
        <v>4625596</v>
      </c>
    </row>
    <row r="14" spans="1:20">
      <c r="A14" s="9" t="s">
        <v>21</v>
      </c>
      <c r="B14" s="10" t="s">
        <v>9</v>
      </c>
      <c r="C14" s="10" t="s">
        <v>10</v>
      </c>
      <c r="D14" s="10" t="s">
        <v>12</v>
      </c>
      <c r="E14" s="10" t="s">
        <v>18</v>
      </c>
      <c r="F14" s="10" t="s">
        <v>22</v>
      </c>
      <c r="G14" s="11">
        <v>160801.04</v>
      </c>
      <c r="H14" s="11">
        <v>0</v>
      </c>
      <c r="I14" s="11">
        <f>G14+H14</f>
        <v>160801.04</v>
      </c>
      <c r="J14" s="11">
        <v>0</v>
      </c>
      <c r="K14" s="11">
        <f>I14+J14</f>
        <v>160801.04</v>
      </c>
      <c r="L14" s="11">
        <v>128042.77</v>
      </c>
      <c r="M14" s="11">
        <v>0</v>
      </c>
      <c r="N14" s="11">
        <f>L14+M14</f>
        <v>128042.77</v>
      </c>
      <c r="O14" s="11">
        <v>0</v>
      </c>
      <c r="P14" s="11">
        <f>N14+O14</f>
        <v>128042.77</v>
      </c>
      <c r="Q14" s="11">
        <v>131343.88</v>
      </c>
      <c r="R14" s="11">
        <v>0</v>
      </c>
      <c r="S14" s="11">
        <f>Q14+R14</f>
        <v>131343.88</v>
      </c>
    </row>
    <row r="15" spans="1:20" ht="13.5">
      <c r="A15" s="6" t="s">
        <v>23</v>
      </c>
      <c r="B15" s="7" t="s">
        <v>9</v>
      </c>
      <c r="C15" s="7" t="s">
        <v>10</v>
      </c>
      <c r="D15" s="7" t="s">
        <v>12</v>
      </c>
      <c r="E15" s="7" t="s">
        <v>24</v>
      </c>
      <c r="F15" s="7" t="s">
        <v>0</v>
      </c>
      <c r="G15" s="8">
        <f t="shared" ref="G15:S15" si="11">G16+G17</f>
        <v>187747</v>
      </c>
      <c r="H15" s="8">
        <f t="shared" si="11"/>
        <v>0</v>
      </c>
      <c r="I15" s="8">
        <f t="shared" si="11"/>
        <v>187747</v>
      </c>
      <c r="J15" s="8">
        <f t="shared" ref="J15:K15" si="12">J16+J17</f>
        <v>0</v>
      </c>
      <c r="K15" s="8">
        <f t="shared" si="12"/>
        <v>187747</v>
      </c>
      <c r="L15" s="8">
        <f t="shared" si="11"/>
        <v>627764</v>
      </c>
      <c r="M15" s="8">
        <f t="shared" si="11"/>
        <v>0</v>
      </c>
      <c r="N15" s="8">
        <f t="shared" si="11"/>
        <v>627764</v>
      </c>
      <c r="O15" s="8">
        <f t="shared" ref="O15:P15" si="13">O16+O17</f>
        <v>0</v>
      </c>
      <c r="P15" s="8">
        <f t="shared" si="13"/>
        <v>627764</v>
      </c>
      <c r="Q15" s="8">
        <f t="shared" si="11"/>
        <v>646613</v>
      </c>
      <c r="R15" s="8">
        <f t="shared" si="11"/>
        <v>0</v>
      </c>
      <c r="S15" s="8">
        <f t="shared" si="11"/>
        <v>646613</v>
      </c>
    </row>
    <row r="16" spans="1:20">
      <c r="A16" s="9" t="s">
        <v>19</v>
      </c>
      <c r="B16" s="10" t="s">
        <v>9</v>
      </c>
      <c r="C16" s="10" t="s">
        <v>10</v>
      </c>
      <c r="D16" s="10" t="s">
        <v>12</v>
      </c>
      <c r="E16" s="10" t="s">
        <v>24</v>
      </c>
      <c r="F16" s="10" t="s">
        <v>20</v>
      </c>
      <c r="G16" s="11">
        <v>101551</v>
      </c>
      <c r="H16" s="11">
        <v>0</v>
      </c>
      <c r="I16" s="11">
        <f>G16+H16</f>
        <v>101551</v>
      </c>
      <c r="J16" s="11">
        <v>0</v>
      </c>
      <c r="K16" s="11">
        <f>I16+J16</f>
        <v>101551</v>
      </c>
      <c r="L16" s="11">
        <v>538982</v>
      </c>
      <c r="M16" s="11">
        <v>0</v>
      </c>
      <c r="N16" s="11">
        <f>L16+M16</f>
        <v>538982</v>
      </c>
      <c r="O16" s="11">
        <v>0</v>
      </c>
      <c r="P16" s="11">
        <f>N16+O16</f>
        <v>538982</v>
      </c>
      <c r="Q16" s="11">
        <v>555168</v>
      </c>
      <c r="R16" s="11">
        <v>0</v>
      </c>
      <c r="S16" s="11">
        <f>Q16+R16</f>
        <v>555168</v>
      </c>
    </row>
    <row r="17" spans="1:19">
      <c r="A17" s="9" t="s">
        <v>21</v>
      </c>
      <c r="B17" s="10" t="s">
        <v>9</v>
      </c>
      <c r="C17" s="10" t="s">
        <v>10</v>
      </c>
      <c r="D17" s="10" t="s">
        <v>12</v>
      </c>
      <c r="E17" s="10" t="s">
        <v>24</v>
      </c>
      <c r="F17" s="10" t="s">
        <v>22</v>
      </c>
      <c r="G17" s="11">
        <v>86196</v>
      </c>
      <c r="H17" s="11">
        <v>0</v>
      </c>
      <c r="I17" s="11">
        <f>G17+H17</f>
        <v>86196</v>
      </c>
      <c r="J17" s="11">
        <v>0</v>
      </c>
      <c r="K17" s="11">
        <f>I17+J17</f>
        <v>86196</v>
      </c>
      <c r="L17" s="11">
        <v>88782</v>
      </c>
      <c r="M17" s="11">
        <v>0</v>
      </c>
      <c r="N17" s="11">
        <f>L17+M17</f>
        <v>88782</v>
      </c>
      <c r="O17" s="11">
        <v>0</v>
      </c>
      <c r="P17" s="11">
        <f>N17+O17</f>
        <v>88782</v>
      </c>
      <c r="Q17" s="11">
        <v>91445</v>
      </c>
      <c r="R17" s="11">
        <v>0</v>
      </c>
      <c r="S17" s="11">
        <f>Q17+R17</f>
        <v>91445</v>
      </c>
    </row>
    <row r="18" spans="1:19" s="17" customFormat="1" ht="25.5">
      <c r="A18" s="26" t="s">
        <v>8</v>
      </c>
      <c r="B18" s="27" t="s">
        <v>9</v>
      </c>
      <c r="C18" s="27" t="s">
        <v>0</v>
      </c>
      <c r="D18" s="27" t="s">
        <v>0</v>
      </c>
      <c r="E18" s="27" t="s">
        <v>0</v>
      </c>
      <c r="F18" s="27" t="s">
        <v>0</v>
      </c>
      <c r="G18" s="28">
        <f t="shared" ref="G18:S18" si="14">G19+G79+G110+G132+G161+G202+G208+G151+G156+G197</f>
        <v>317197206.26982546</v>
      </c>
      <c r="H18" s="28">
        <f t="shared" si="14"/>
        <v>216768039.46000001</v>
      </c>
      <c r="I18" s="28">
        <f t="shared" si="14"/>
        <v>533965245.7298255</v>
      </c>
      <c r="J18" s="28">
        <f>J19+J79+J110+J132+J161+J202+J208+J151+J156+J197</f>
        <v>15417451.01</v>
      </c>
      <c r="K18" s="28">
        <f t="shared" ref="K18" si="15">K19+K79+K110+K132+K161+K202+K208+K151+K156+K197</f>
        <v>549382696.73982549</v>
      </c>
      <c r="L18" s="28">
        <f t="shared" si="14"/>
        <v>306772608.50217533</v>
      </c>
      <c r="M18" s="28">
        <f t="shared" si="14"/>
        <v>2354298.17</v>
      </c>
      <c r="N18" s="28">
        <f t="shared" si="14"/>
        <v>309126906.67217535</v>
      </c>
      <c r="O18" s="28">
        <f t="shared" ref="O18:P18" si="16">O19+O79+O110+O132+O161+O202+O208+O151+O156+O197</f>
        <v>0</v>
      </c>
      <c r="P18" s="28">
        <f t="shared" si="16"/>
        <v>309126906.67217535</v>
      </c>
      <c r="Q18" s="28">
        <f t="shared" si="14"/>
        <v>323735037.79769826</v>
      </c>
      <c r="R18" s="28">
        <f t="shared" si="14"/>
        <v>0</v>
      </c>
      <c r="S18" s="28">
        <f t="shared" si="14"/>
        <v>323735037.79769826</v>
      </c>
    </row>
    <row r="19" spans="1:19" s="17" customFormat="1">
      <c r="A19" s="14" t="s">
        <v>230</v>
      </c>
      <c r="B19" s="15" t="s">
        <v>9</v>
      </c>
      <c r="C19" s="15" t="s">
        <v>10</v>
      </c>
      <c r="D19" s="15" t="s">
        <v>0</v>
      </c>
      <c r="E19" s="15" t="s">
        <v>0</v>
      </c>
      <c r="F19" s="15" t="s">
        <v>0</v>
      </c>
      <c r="G19" s="16">
        <f>G20+G25+G39+G46+G53</f>
        <v>184785392.38999999</v>
      </c>
      <c r="H19" s="16">
        <f>H20+H25+H39+H46+H53</f>
        <v>15802815.200000001</v>
      </c>
      <c r="I19" s="16">
        <f>I20+I25+I39+I46+I53</f>
        <v>200588207.59</v>
      </c>
      <c r="J19" s="16">
        <f>J20+J25+J39+J46+J53</f>
        <v>869384.42</v>
      </c>
      <c r="K19" s="16">
        <f>K20+K25+K39+K46+K53</f>
        <v>201457592.01000002</v>
      </c>
      <c r="L19" s="16">
        <f t="shared" ref="L19:S19" si="17">L20+L25+L46+L53</f>
        <v>197255018.15000001</v>
      </c>
      <c r="M19" s="16">
        <f t="shared" si="17"/>
        <v>2354298.17</v>
      </c>
      <c r="N19" s="16">
        <f t="shared" si="17"/>
        <v>199609316.31999999</v>
      </c>
      <c r="O19" s="16">
        <f t="shared" si="17"/>
        <v>0</v>
      </c>
      <c r="P19" s="16">
        <f t="shared" si="17"/>
        <v>199609316.31999999</v>
      </c>
      <c r="Q19" s="16">
        <f t="shared" si="17"/>
        <v>211865807.23000002</v>
      </c>
      <c r="R19" s="16">
        <f t="shared" si="17"/>
        <v>0</v>
      </c>
      <c r="S19" s="16">
        <f t="shared" si="17"/>
        <v>211865807.23000002</v>
      </c>
    </row>
    <row r="20" spans="1:19" s="17" customFormat="1" ht="25.5">
      <c r="A20" s="14" t="s">
        <v>26</v>
      </c>
      <c r="B20" s="15" t="s">
        <v>9</v>
      </c>
      <c r="C20" s="15" t="s">
        <v>10</v>
      </c>
      <c r="D20" s="15" t="s">
        <v>27</v>
      </c>
      <c r="E20" s="15" t="s">
        <v>0</v>
      </c>
      <c r="F20" s="15" t="s">
        <v>0</v>
      </c>
      <c r="G20" s="16">
        <f t="shared" ref="G20:K23" si="18">G21</f>
        <v>7771341.7699999996</v>
      </c>
      <c r="H20" s="16">
        <f t="shared" si="18"/>
        <v>0</v>
      </c>
      <c r="I20" s="16">
        <f t="shared" si="18"/>
        <v>7771341.7699999996</v>
      </c>
      <c r="J20" s="16">
        <f t="shared" si="18"/>
        <v>0</v>
      </c>
      <c r="K20" s="16">
        <f t="shared" si="18"/>
        <v>7771341.7699999996</v>
      </c>
      <c r="L20" s="16">
        <f t="shared" ref="L20:S23" si="19">L21</f>
        <v>8006291.0300000003</v>
      </c>
      <c r="M20" s="16">
        <f t="shared" si="19"/>
        <v>0</v>
      </c>
      <c r="N20" s="16">
        <f t="shared" si="19"/>
        <v>8006291.0300000003</v>
      </c>
      <c r="O20" s="16">
        <f t="shared" si="19"/>
        <v>0</v>
      </c>
      <c r="P20" s="16">
        <f t="shared" si="19"/>
        <v>8006291.0300000003</v>
      </c>
      <c r="Q20" s="16">
        <f t="shared" si="19"/>
        <v>8246481.0800000001</v>
      </c>
      <c r="R20" s="16">
        <f t="shared" si="19"/>
        <v>0</v>
      </c>
      <c r="S20" s="16">
        <f t="shared" si="19"/>
        <v>8246481.0800000001</v>
      </c>
    </row>
    <row r="21" spans="1:19" s="17" customFormat="1">
      <c r="A21" s="14" t="s">
        <v>13</v>
      </c>
      <c r="B21" s="15" t="s">
        <v>9</v>
      </c>
      <c r="C21" s="15" t="s">
        <v>10</v>
      </c>
      <c r="D21" s="15" t="s">
        <v>27</v>
      </c>
      <c r="E21" s="15" t="s">
        <v>14</v>
      </c>
      <c r="F21" s="15" t="s">
        <v>0</v>
      </c>
      <c r="G21" s="16">
        <f t="shared" si="18"/>
        <v>7771341.7699999996</v>
      </c>
      <c r="H21" s="16">
        <f t="shared" si="18"/>
        <v>0</v>
      </c>
      <c r="I21" s="16">
        <f t="shared" si="18"/>
        <v>7771341.7699999996</v>
      </c>
      <c r="J21" s="16">
        <f t="shared" si="18"/>
        <v>0</v>
      </c>
      <c r="K21" s="16">
        <f t="shared" si="18"/>
        <v>7771341.7699999996</v>
      </c>
      <c r="L21" s="16">
        <f t="shared" si="19"/>
        <v>8006291.0300000003</v>
      </c>
      <c r="M21" s="16">
        <f t="shared" si="19"/>
        <v>0</v>
      </c>
      <c r="N21" s="16">
        <f t="shared" si="19"/>
        <v>8006291.0300000003</v>
      </c>
      <c r="O21" s="16">
        <f t="shared" si="19"/>
        <v>0</v>
      </c>
      <c r="P21" s="16">
        <f t="shared" si="19"/>
        <v>8006291.0300000003</v>
      </c>
      <c r="Q21" s="16">
        <f t="shared" si="19"/>
        <v>8246481.0800000001</v>
      </c>
      <c r="R21" s="16">
        <f t="shared" si="19"/>
        <v>0</v>
      </c>
      <c r="S21" s="16">
        <f t="shared" si="19"/>
        <v>8246481.0800000001</v>
      </c>
    </row>
    <row r="22" spans="1:19" s="17" customFormat="1" ht="25.5">
      <c r="A22" s="14" t="s">
        <v>15</v>
      </c>
      <c r="B22" s="15" t="s">
        <v>9</v>
      </c>
      <c r="C22" s="15" t="s">
        <v>10</v>
      </c>
      <c r="D22" s="15" t="s">
        <v>27</v>
      </c>
      <c r="E22" s="15" t="s">
        <v>16</v>
      </c>
      <c r="F22" s="15" t="s">
        <v>0</v>
      </c>
      <c r="G22" s="16">
        <f t="shared" si="18"/>
        <v>7771341.7699999996</v>
      </c>
      <c r="H22" s="16">
        <f t="shared" si="18"/>
        <v>0</v>
      </c>
      <c r="I22" s="16">
        <f t="shared" si="18"/>
        <v>7771341.7699999996</v>
      </c>
      <c r="J22" s="16">
        <f t="shared" si="18"/>
        <v>0</v>
      </c>
      <c r="K22" s="16">
        <f t="shared" si="18"/>
        <v>7771341.7699999996</v>
      </c>
      <c r="L22" s="16">
        <f t="shared" si="19"/>
        <v>8006291.0300000003</v>
      </c>
      <c r="M22" s="16">
        <f t="shared" si="19"/>
        <v>0</v>
      </c>
      <c r="N22" s="16">
        <f t="shared" si="19"/>
        <v>8006291.0300000003</v>
      </c>
      <c r="O22" s="16">
        <f t="shared" si="19"/>
        <v>0</v>
      </c>
      <c r="P22" s="16">
        <f t="shared" si="19"/>
        <v>8006291.0300000003</v>
      </c>
      <c r="Q22" s="16">
        <f t="shared" si="19"/>
        <v>8246481.0800000001</v>
      </c>
      <c r="R22" s="16">
        <f t="shared" si="19"/>
        <v>0</v>
      </c>
      <c r="S22" s="16">
        <f t="shared" si="19"/>
        <v>8246481.0800000001</v>
      </c>
    </row>
    <row r="23" spans="1:19" s="17" customFormat="1" ht="13.5">
      <c r="A23" s="18" t="s">
        <v>28</v>
      </c>
      <c r="B23" s="19" t="s">
        <v>9</v>
      </c>
      <c r="C23" s="19" t="s">
        <v>10</v>
      </c>
      <c r="D23" s="19" t="s">
        <v>27</v>
      </c>
      <c r="E23" s="19" t="s">
        <v>29</v>
      </c>
      <c r="F23" s="19" t="s">
        <v>0</v>
      </c>
      <c r="G23" s="20">
        <f t="shared" si="18"/>
        <v>7771341.7699999996</v>
      </c>
      <c r="H23" s="20">
        <f t="shared" si="18"/>
        <v>0</v>
      </c>
      <c r="I23" s="20">
        <f t="shared" si="18"/>
        <v>7771341.7699999996</v>
      </c>
      <c r="J23" s="20">
        <f t="shared" si="18"/>
        <v>0</v>
      </c>
      <c r="K23" s="20">
        <f t="shared" si="18"/>
        <v>7771341.7699999996</v>
      </c>
      <c r="L23" s="20">
        <f t="shared" si="19"/>
        <v>8006291.0300000003</v>
      </c>
      <c r="M23" s="20">
        <f t="shared" si="19"/>
        <v>0</v>
      </c>
      <c r="N23" s="20">
        <f t="shared" si="19"/>
        <v>8006291.0300000003</v>
      </c>
      <c r="O23" s="20">
        <f t="shared" si="19"/>
        <v>0</v>
      </c>
      <c r="P23" s="20">
        <f t="shared" si="19"/>
        <v>8006291.0300000003</v>
      </c>
      <c r="Q23" s="20">
        <f t="shared" si="19"/>
        <v>8246481.0800000001</v>
      </c>
      <c r="R23" s="20">
        <f t="shared" si="19"/>
        <v>0</v>
      </c>
      <c r="S23" s="20">
        <f t="shared" si="19"/>
        <v>8246481.0800000001</v>
      </c>
    </row>
    <row r="24" spans="1:19" s="17" customFormat="1">
      <c r="A24" s="21" t="s">
        <v>19</v>
      </c>
      <c r="B24" s="22" t="s">
        <v>9</v>
      </c>
      <c r="C24" s="22" t="s">
        <v>10</v>
      </c>
      <c r="D24" s="22" t="s">
        <v>27</v>
      </c>
      <c r="E24" s="22" t="s">
        <v>29</v>
      </c>
      <c r="F24" s="22" t="s">
        <v>20</v>
      </c>
      <c r="G24" s="46">
        <v>7771341.7699999996</v>
      </c>
      <c r="H24" s="46">
        <v>0</v>
      </c>
      <c r="I24" s="46">
        <f>G24+H24</f>
        <v>7771341.7699999996</v>
      </c>
      <c r="J24" s="46">
        <v>0</v>
      </c>
      <c r="K24" s="46">
        <f>I24+J24</f>
        <v>7771341.7699999996</v>
      </c>
      <c r="L24" s="46">
        <v>8006291.0300000003</v>
      </c>
      <c r="M24" s="46">
        <v>0</v>
      </c>
      <c r="N24" s="46">
        <f>L24+M24</f>
        <v>8006291.0300000003</v>
      </c>
      <c r="O24" s="46">
        <v>0</v>
      </c>
      <c r="P24" s="46">
        <f>N24+O24</f>
        <v>8006291.0300000003</v>
      </c>
      <c r="Q24" s="46">
        <v>8246481.0800000001</v>
      </c>
      <c r="R24" s="46">
        <v>0</v>
      </c>
      <c r="S24" s="46">
        <f>Q24+R24</f>
        <v>8246481.0800000001</v>
      </c>
    </row>
    <row r="25" spans="1:19" s="17" customFormat="1" ht="38.25">
      <c r="A25" s="14" t="s">
        <v>30</v>
      </c>
      <c r="B25" s="15" t="s">
        <v>9</v>
      </c>
      <c r="C25" s="15" t="s">
        <v>10</v>
      </c>
      <c r="D25" s="15" t="s">
        <v>31</v>
      </c>
      <c r="E25" s="15" t="s">
        <v>0</v>
      </c>
      <c r="F25" s="15" t="s">
        <v>0</v>
      </c>
      <c r="G25" s="52">
        <f t="shared" ref="G25:S25" si="20">G26+G31</f>
        <v>151646567.13999999</v>
      </c>
      <c r="H25" s="52">
        <f t="shared" si="20"/>
        <v>800857.9</v>
      </c>
      <c r="I25" s="52">
        <f t="shared" si="20"/>
        <v>152447425.03999999</v>
      </c>
      <c r="J25" s="52">
        <f t="shared" ref="J25:K25" si="21">J26+J31</f>
        <v>0</v>
      </c>
      <c r="K25" s="52">
        <f t="shared" si="21"/>
        <v>152447425.03999999</v>
      </c>
      <c r="L25" s="52">
        <f t="shared" si="20"/>
        <v>155982954.53999999</v>
      </c>
      <c r="M25" s="52">
        <f t="shared" si="20"/>
        <v>0</v>
      </c>
      <c r="N25" s="52">
        <f t="shared" si="20"/>
        <v>155982954.53999999</v>
      </c>
      <c r="O25" s="52">
        <f t="shared" ref="O25:P25" si="22">O26+O31</f>
        <v>0</v>
      </c>
      <c r="P25" s="52">
        <f t="shared" si="22"/>
        <v>155982954.53999999</v>
      </c>
      <c r="Q25" s="52">
        <f t="shared" si="20"/>
        <v>158913053.25999999</v>
      </c>
      <c r="R25" s="52">
        <f t="shared" si="20"/>
        <v>0</v>
      </c>
      <c r="S25" s="52">
        <f t="shared" si="20"/>
        <v>158913053.25999999</v>
      </c>
    </row>
    <row r="26" spans="1:19" s="17" customFormat="1">
      <c r="A26" s="14" t="s">
        <v>32</v>
      </c>
      <c r="B26" s="15" t="s">
        <v>9</v>
      </c>
      <c r="C26" s="15" t="s">
        <v>10</v>
      </c>
      <c r="D26" s="15" t="s">
        <v>31</v>
      </c>
      <c r="E26" s="15" t="s">
        <v>33</v>
      </c>
      <c r="F26" s="15" t="s">
        <v>0</v>
      </c>
      <c r="G26" s="52">
        <f t="shared" ref="G26:S27" si="23">G27</f>
        <v>294937</v>
      </c>
      <c r="H26" s="52">
        <f t="shared" si="23"/>
        <v>0</v>
      </c>
      <c r="I26" s="52">
        <f t="shared" si="23"/>
        <v>294937</v>
      </c>
      <c r="J26" s="52">
        <f t="shared" si="23"/>
        <v>0</v>
      </c>
      <c r="K26" s="52">
        <f t="shared" si="23"/>
        <v>294937</v>
      </c>
      <c r="L26" s="52">
        <f t="shared" si="23"/>
        <v>925373.16</v>
      </c>
      <c r="M26" s="52">
        <f t="shared" si="23"/>
        <v>0</v>
      </c>
      <c r="N26" s="52">
        <f t="shared" si="23"/>
        <v>925373.16</v>
      </c>
      <c r="O26" s="52">
        <f t="shared" si="23"/>
        <v>0</v>
      </c>
      <c r="P26" s="52">
        <f t="shared" si="23"/>
        <v>925373.16</v>
      </c>
      <c r="Q26" s="52">
        <f t="shared" si="23"/>
        <v>925373.16</v>
      </c>
      <c r="R26" s="52">
        <f t="shared" si="23"/>
        <v>0</v>
      </c>
      <c r="S26" s="52">
        <f t="shared" si="23"/>
        <v>925373.16</v>
      </c>
    </row>
    <row r="27" spans="1:19" s="17" customFormat="1">
      <c r="A27" s="14" t="s">
        <v>34</v>
      </c>
      <c r="B27" s="15" t="s">
        <v>9</v>
      </c>
      <c r="C27" s="15" t="s">
        <v>10</v>
      </c>
      <c r="D27" s="15" t="s">
        <v>31</v>
      </c>
      <c r="E27" s="15" t="s">
        <v>35</v>
      </c>
      <c r="F27" s="15" t="s">
        <v>0</v>
      </c>
      <c r="G27" s="52">
        <f t="shared" si="23"/>
        <v>294937</v>
      </c>
      <c r="H27" s="52">
        <f t="shared" si="23"/>
        <v>0</v>
      </c>
      <c r="I27" s="52">
        <f t="shared" si="23"/>
        <v>294937</v>
      </c>
      <c r="J27" s="52">
        <f t="shared" si="23"/>
        <v>0</v>
      </c>
      <c r="K27" s="52">
        <f t="shared" si="23"/>
        <v>294937</v>
      </c>
      <c r="L27" s="52">
        <f t="shared" si="23"/>
        <v>925373.16</v>
      </c>
      <c r="M27" s="52">
        <f t="shared" si="23"/>
        <v>0</v>
      </c>
      <c r="N27" s="52">
        <f t="shared" si="23"/>
        <v>925373.16</v>
      </c>
      <c r="O27" s="52">
        <f t="shared" si="23"/>
        <v>0</v>
      </c>
      <c r="P27" s="52">
        <f t="shared" si="23"/>
        <v>925373.16</v>
      </c>
      <c r="Q27" s="52">
        <f t="shared" si="23"/>
        <v>925373.16</v>
      </c>
      <c r="R27" s="52">
        <f t="shared" si="23"/>
        <v>0</v>
      </c>
      <c r="S27" s="52">
        <f t="shared" si="23"/>
        <v>925373.16</v>
      </c>
    </row>
    <row r="28" spans="1:19" s="17" customFormat="1" ht="13.5">
      <c r="A28" s="18" t="s">
        <v>36</v>
      </c>
      <c r="B28" s="19" t="s">
        <v>9</v>
      </c>
      <c r="C28" s="19" t="s">
        <v>10</v>
      </c>
      <c r="D28" s="19" t="s">
        <v>31</v>
      </c>
      <c r="E28" s="19" t="s">
        <v>37</v>
      </c>
      <c r="F28" s="19" t="s">
        <v>0</v>
      </c>
      <c r="G28" s="33">
        <f t="shared" ref="G28:S28" si="24">G29+G30</f>
        <v>294937</v>
      </c>
      <c r="H28" s="33">
        <f t="shared" si="24"/>
        <v>0</v>
      </c>
      <c r="I28" s="33">
        <f t="shared" si="24"/>
        <v>294937</v>
      </c>
      <c r="J28" s="33">
        <f t="shared" ref="J28:K28" si="25">J29+J30</f>
        <v>0</v>
      </c>
      <c r="K28" s="33">
        <f t="shared" si="25"/>
        <v>294937</v>
      </c>
      <c r="L28" s="33">
        <f t="shared" si="24"/>
        <v>925373.16</v>
      </c>
      <c r="M28" s="33">
        <f t="shared" si="24"/>
        <v>0</v>
      </c>
      <c r="N28" s="33">
        <f t="shared" si="24"/>
        <v>925373.16</v>
      </c>
      <c r="O28" s="33">
        <f t="shared" ref="O28:P28" si="26">O29+O30</f>
        <v>0</v>
      </c>
      <c r="P28" s="33">
        <f t="shared" si="26"/>
        <v>925373.16</v>
      </c>
      <c r="Q28" s="33">
        <f t="shared" si="24"/>
        <v>925373.16</v>
      </c>
      <c r="R28" s="33">
        <f t="shared" si="24"/>
        <v>0</v>
      </c>
      <c r="S28" s="33">
        <f t="shared" si="24"/>
        <v>925373.16</v>
      </c>
    </row>
    <row r="29" spans="1:19" s="17" customFormat="1">
      <c r="A29" s="21" t="s">
        <v>19</v>
      </c>
      <c r="B29" s="22" t="s">
        <v>9</v>
      </c>
      <c r="C29" s="22" t="s">
        <v>10</v>
      </c>
      <c r="D29" s="22" t="s">
        <v>31</v>
      </c>
      <c r="E29" s="22" t="s">
        <v>37</v>
      </c>
      <c r="F29" s="22" t="s">
        <v>20</v>
      </c>
      <c r="G29" s="46">
        <v>0</v>
      </c>
      <c r="H29" s="46">
        <v>0</v>
      </c>
      <c r="I29" s="46">
        <f>G29+H29</f>
        <v>0</v>
      </c>
      <c r="J29" s="46">
        <v>0</v>
      </c>
      <c r="K29" s="46">
        <f>I29+J29</f>
        <v>0</v>
      </c>
      <c r="L29" s="46">
        <v>642475.16</v>
      </c>
      <c r="M29" s="46">
        <v>0</v>
      </c>
      <c r="N29" s="46">
        <f>L29+M29</f>
        <v>642475.16</v>
      </c>
      <c r="O29" s="46">
        <v>0</v>
      </c>
      <c r="P29" s="46">
        <f>N29+O29</f>
        <v>642475.16</v>
      </c>
      <c r="Q29" s="46">
        <v>643231.16</v>
      </c>
      <c r="R29" s="46">
        <v>0</v>
      </c>
      <c r="S29" s="46">
        <f>Q29+R29</f>
        <v>643231.16</v>
      </c>
    </row>
    <row r="30" spans="1:19" s="17" customFormat="1">
      <c r="A30" s="21" t="s">
        <v>21</v>
      </c>
      <c r="B30" s="22" t="s">
        <v>9</v>
      </c>
      <c r="C30" s="22" t="s">
        <v>10</v>
      </c>
      <c r="D30" s="22" t="s">
        <v>31</v>
      </c>
      <c r="E30" s="22" t="s">
        <v>37</v>
      </c>
      <c r="F30" s="22" t="s">
        <v>22</v>
      </c>
      <c r="G30" s="46">
        <v>294937</v>
      </c>
      <c r="H30" s="46">
        <v>0</v>
      </c>
      <c r="I30" s="46">
        <f>G30+H30</f>
        <v>294937</v>
      </c>
      <c r="J30" s="46">
        <v>0</v>
      </c>
      <c r="K30" s="46">
        <f>I30+J30</f>
        <v>294937</v>
      </c>
      <c r="L30" s="46">
        <v>282898</v>
      </c>
      <c r="M30" s="46">
        <v>0</v>
      </c>
      <c r="N30" s="46">
        <f>L30+M30</f>
        <v>282898</v>
      </c>
      <c r="O30" s="46">
        <v>0</v>
      </c>
      <c r="P30" s="46">
        <f>N30+O30</f>
        <v>282898</v>
      </c>
      <c r="Q30" s="46">
        <v>282142</v>
      </c>
      <c r="R30" s="46">
        <v>0</v>
      </c>
      <c r="S30" s="46">
        <f>Q30+R30</f>
        <v>282142</v>
      </c>
    </row>
    <row r="31" spans="1:19" s="17" customFormat="1">
      <c r="A31" s="14" t="s">
        <v>13</v>
      </c>
      <c r="B31" s="15" t="s">
        <v>9</v>
      </c>
      <c r="C31" s="15" t="s">
        <v>10</v>
      </c>
      <c r="D31" s="15" t="s">
        <v>31</v>
      </c>
      <c r="E31" s="15" t="s">
        <v>14</v>
      </c>
      <c r="F31" s="15" t="s">
        <v>0</v>
      </c>
      <c r="G31" s="52">
        <f t="shared" ref="G31:S32" si="27">G32</f>
        <v>151351630.13999999</v>
      </c>
      <c r="H31" s="52">
        <f t="shared" si="27"/>
        <v>800857.9</v>
      </c>
      <c r="I31" s="52">
        <f t="shared" si="27"/>
        <v>152152488.03999999</v>
      </c>
      <c r="J31" s="52">
        <f t="shared" si="27"/>
        <v>0</v>
      </c>
      <c r="K31" s="52">
        <f t="shared" si="27"/>
        <v>152152488.03999999</v>
      </c>
      <c r="L31" s="52">
        <f t="shared" si="27"/>
        <v>155057581.38</v>
      </c>
      <c r="M31" s="52">
        <f t="shared" si="27"/>
        <v>0</v>
      </c>
      <c r="N31" s="52">
        <f t="shared" si="27"/>
        <v>155057581.38</v>
      </c>
      <c r="O31" s="52">
        <f t="shared" si="27"/>
        <v>0</v>
      </c>
      <c r="P31" s="52">
        <f t="shared" si="27"/>
        <v>155057581.38</v>
      </c>
      <c r="Q31" s="52">
        <f t="shared" si="27"/>
        <v>157987680.09999999</v>
      </c>
      <c r="R31" s="52">
        <f t="shared" si="27"/>
        <v>0</v>
      </c>
      <c r="S31" s="52">
        <f t="shared" si="27"/>
        <v>157987680.09999999</v>
      </c>
    </row>
    <row r="32" spans="1:19" s="17" customFormat="1" ht="25.5">
      <c r="A32" s="14" t="s">
        <v>15</v>
      </c>
      <c r="B32" s="15" t="s">
        <v>9</v>
      </c>
      <c r="C32" s="15" t="s">
        <v>10</v>
      </c>
      <c r="D32" s="15" t="s">
        <v>31</v>
      </c>
      <c r="E32" s="15" t="s">
        <v>16</v>
      </c>
      <c r="F32" s="15" t="s">
        <v>0</v>
      </c>
      <c r="G32" s="52">
        <f t="shared" si="27"/>
        <v>151351630.13999999</v>
      </c>
      <c r="H32" s="52">
        <f t="shared" si="27"/>
        <v>800857.9</v>
      </c>
      <c r="I32" s="52">
        <f t="shared" si="27"/>
        <v>152152488.03999999</v>
      </c>
      <c r="J32" s="52">
        <f t="shared" si="27"/>
        <v>0</v>
      </c>
      <c r="K32" s="52">
        <f t="shared" si="27"/>
        <v>152152488.03999999</v>
      </c>
      <c r="L32" s="52">
        <f t="shared" si="27"/>
        <v>155057581.38</v>
      </c>
      <c r="M32" s="52">
        <f t="shared" si="27"/>
        <v>0</v>
      </c>
      <c r="N32" s="52">
        <f t="shared" si="27"/>
        <v>155057581.38</v>
      </c>
      <c r="O32" s="52">
        <f t="shared" si="27"/>
        <v>0</v>
      </c>
      <c r="P32" s="52">
        <f t="shared" si="27"/>
        <v>155057581.38</v>
      </c>
      <c r="Q32" s="52">
        <f t="shared" si="27"/>
        <v>157987680.09999999</v>
      </c>
      <c r="R32" s="52">
        <f t="shared" si="27"/>
        <v>0</v>
      </c>
      <c r="S32" s="52">
        <f t="shared" si="27"/>
        <v>157987680.09999999</v>
      </c>
    </row>
    <row r="33" spans="1:19" s="17" customFormat="1" ht="13.5">
      <c r="A33" s="18" t="s">
        <v>17</v>
      </c>
      <c r="B33" s="19" t="s">
        <v>9</v>
      </c>
      <c r="C33" s="19" t="s">
        <v>10</v>
      </c>
      <c r="D33" s="19" t="s">
        <v>31</v>
      </c>
      <c r="E33" s="19" t="s">
        <v>18</v>
      </c>
      <c r="F33" s="19" t="s">
        <v>0</v>
      </c>
      <c r="G33" s="33">
        <f>G34+G35+G37+G38+G36</f>
        <v>151351630.13999999</v>
      </c>
      <c r="H33" s="33">
        <f t="shared" ref="H33:I33" si="28">H34+H35+H37+H38+H36</f>
        <v>800857.9</v>
      </c>
      <c r="I33" s="33">
        <f t="shared" si="28"/>
        <v>152152488.03999999</v>
      </c>
      <c r="J33" s="33">
        <f t="shared" ref="J33:K33" si="29">J34+J35+J37+J38+J36</f>
        <v>0</v>
      </c>
      <c r="K33" s="33">
        <f t="shared" si="29"/>
        <v>152152488.03999999</v>
      </c>
      <c r="L33" s="33">
        <f>L34+L35+L37+L38+L36</f>
        <v>155057581.38</v>
      </c>
      <c r="M33" s="33">
        <f t="shared" ref="M33:S33" si="30">M34+M35+M37+M38+M36</f>
        <v>0</v>
      </c>
      <c r="N33" s="33">
        <f t="shared" si="30"/>
        <v>155057581.38</v>
      </c>
      <c r="O33" s="33">
        <f t="shared" ref="O33:P33" si="31">O34+O35+O37+O38+O36</f>
        <v>0</v>
      </c>
      <c r="P33" s="33">
        <f t="shared" si="31"/>
        <v>155057581.38</v>
      </c>
      <c r="Q33" s="33">
        <f t="shared" si="30"/>
        <v>157987680.09999999</v>
      </c>
      <c r="R33" s="33">
        <f t="shared" si="30"/>
        <v>0</v>
      </c>
      <c r="S33" s="33">
        <f t="shared" si="30"/>
        <v>157987680.09999999</v>
      </c>
    </row>
    <row r="34" spans="1:19" s="17" customFormat="1">
      <c r="A34" s="21" t="s">
        <v>19</v>
      </c>
      <c r="B34" s="22" t="s">
        <v>9</v>
      </c>
      <c r="C34" s="22" t="s">
        <v>10</v>
      </c>
      <c r="D34" s="22" t="s">
        <v>31</v>
      </c>
      <c r="E34" s="22" t="s">
        <v>18</v>
      </c>
      <c r="F34" s="22" t="s">
        <v>20</v>
      </c>
      <c r="G34" s="46">
        <v>127653386.53</v>
      </c>
      <c r="H34" s="87">
        <v>-22969</v>
      </c>
      <c r="I34" s="46">
        <f>G34+H34</f>
        <v>127630417.53</v>
      </c>
      <c r="J34" s="87">
        <f>-4630.68-41249</f>
        <v>-45879.68</v>
      </c>
      <c r="K34" s="46">
        <f>I34+J34</f>
        <v>127584537.84999999</v>
      </c>
      <c r="L34" s="46">
        <v>132672551</v>
      </c>
      <c r="M34" s="46">
        <v>0</v>
      </c>
      <c r="N34" s="46">
        <f>L34+M34</f>
        <v>132672551</v>
      </c>
      <c r="O34" s="46">
        <v>0</v>
      </c>
      <c r="P34" s="46">
        <f>N34+O34</f>
        <v>132672551</v>
      </c>
      <c r="Q34" s="46">
        <v>135467708.97999999</v>
      </c>
      <c r="R34" s="46">
        <v>0</v>
      </c>
      <c r="S34" s="46">
        <f>Q34+R34</f>
        <v>135467708.97999999</v>
      </c>
    </row>
    <row r="35" spans="1:19" s="17" customFormat="1">
      <c r="A35" s="21" t="s">
        <v>21</v>
      </c>
      <c r="B35" s="22" t="s">
        <v>9</v>
      </c>
      <c r="C35" s="22" t="s">
        <v>10</v>
      </c>
      <c r="D35" s="22" t="s">
        <v>31</v>
      </c>
      <c r="E35" s="22" t="s">
        <v>18</v>
      </c>
      <c r="F35" s="22" t="s">
        <v>22</v>
      </c>
      <c r="G35" s="88">
        <v>22808913.609999999</v>
      </c>
      <c r="H35" s="85">
        <f>19262.42+79962.59+572180.49+112252.4+17200</f>
        <v>800857.9</v>
      </c>
      <c r="I35" s="95">
        <f>G35+H35</f>
        <v>23609771.509999998</v>
      </c>
      <c r="J35" s="85">
        <v>0</v>
      </c>
      <c r="K35" s="84">
        <f>I35+J35</f>
        <v>23609771.509999998</v>
      </c>
      <c r="L35" s="46">
        <v>21343816.379999999</v>
      </c>
      <c r="M35" s="46">
        <v>0</v>
      </c>
      <c r="N35" s="46">
        <f t="shared" ref="N35:N38" si="32">L35+M35</f>
        <v>21343816.379999999</v>
      </c>
      <c r="O35" s="46">
        <v>0</v>
      </c>
      <c r="P35" s="46">
        <f t="shared" ref="P35:P38" si="33">N35+O35</f>
        <v>21343816.379999999</v>
      </c>
      <c r="Q35" s="46">
        <v>21494501.120000001</v>
      </c>
      <c r="R35" s="46">
        <v>0</v>
      </c>
      <c r="S35" s="46">
        <f t="shared" ref="S35:S38" si="34">Q35+R35</f>
        <v>21494501.120000001</v>
      </c>
    </row>
    <row r="36" spans="1:19" s="17" customFormat="1">
      <c r="A36" s="90" t="s">
        <v>72</v>
      </c>
      <c r="B36" s="22" t="s">
        <v>9</v>
      </c>
      <c r="C36" s="22" t="s">
        <v>10</v>
      </c>
      <c r="D36" s="22" t="s">
        <v>31</v>
      </c>
      <c r="E36" s="22" t="s">
        <v>18</v>
      </c>
      <c r="F36" s="83">
        <v>300</v>
      </c>
      <c r="G36" s="89">
        <v>0</v>
      </c>
      <c r="H36" s="85">
        <v>22969</v>
      </c>
      <c r="I36" s="82">
        <f>G36+H36</f>
        <v>22969</v>
      </c>
      <c r="J36" s="85">
        <f>4630.68+41249</f>
        <v>45879.68</v>
      </c>
      <c r="K36" s="84">
        <f>I36+J36</f>
        <v>68848.679999999993</v>
      </c>
      <c r="L36" s="46">
        <v>0</v>
      </c>
      <c r="M36" s="46">
        <v>0</v>
      </c>
      <c r="N36" s="46">
        <f t="shared" ref="N36" si="35">L36+M36</f>
        <v>0</v>
      </c>
      <c r="O36" s="46">
        <v>0</v>
      </c>
      <c r="P36" s="46">
        <f t="shared" si="33"/>
        <v>0</v>
      </c>
      <c r="Q36" s="46">
        <v>0</v>
      </c>
      <c r="R36" s="46">
        <v>0</v>
      </c>
      <c r="S36" s="46">
        <f t="shared" si="34"/>
        <v>0</v>
      </c>
    </row>
    <row r="37" spans="1:19" s="17" customFormat="1" hidden="1" outlineLevel="1">
      <c r="A37" s="21" t="s">
        <v>38</v>
      </c>
      <c r="B37" s="22" t="s">
        <v>9</v>
      </c>
      <c r="C37" s="22" t="s">
        <v>10</v>
      </c>
      <c r="D37" s="22" t="s">
        <v>31</v>
      </c>
      <c r="E37" s="22" t="s">
        <v>18</v>
      </c>
      <c r="F37" s="22" t="s">
        <v>39</v>
      </c>
      <c r="G37" s="86">
        <v>0</v>
      </c>
      <c r="H37" s="82">
        <v>0</v>
      </c>
      <c r="I37" s="96">
        <f>G37+H37</f>
        <v>0</v>
      </c>
      <c r="J37" s="82">
        <v>0</v>
      </c>
      <c r="K37" s="84">
        <f>I37+J37</f>
        <v>0</v>
      </c>
      <c r="L37" s="46">
        <v>0</v>
      </c>
      <c r="M37" s="46">
        <v>0</v>
      </c>
      <c r="N37" s="46">
        <f t="shared" si="32"/>
        <v>0</v>
      </c>
      <c r="O37" s="46">
        <v>0</v>
      </c>
      <c r="P37" s="46">
        <f t="shared" si="33"/>
        <v>0</v>
      </c>
      <c r="Q37" s="46">
        <v>0</v>
      </c>
      <c r="R37" s="46">
        <v>0</v>
      </c>
      <c r="S37" s="46">
        <f t="shared" si="34"/>
        <v>0</v>
      </c>
    </row>
    <row r="38" spans="1:19" s="17" customFormat="1" collapsed="1">
      <c r="A38" s="21" t="s">
        <v>40</v>
      </c>
      <c r="B38" s="22" t="s">
        <v>9</v>
      </c>
      <c r="C38" s="22" t="s">
        <v>10</v>
      </c>
      <c r="D38" s="22" t="s">
        <v>31</v>
      </c>
      <c r="E38" s="22" t="s">
        <v>18</v>
      </c>
      <c r="F38" s="22" t="s">
        <v>41</v>
      </c>
      <c r="G38" s="46">
        <v>889330</v>
      </c>
      <c r="H38" s="79">
        <v>0</v>
      </c>
      <c r="I38" s="46">
        <f>G38+H38</f>
        <v>889330</v>
      </c>
      <c r="J38" s="79">
        <v>0</v>
      </c>
      <c r="K38" s="46">
        <f>I38+J38</f>
        <v>889330</v>
      </c>
      <c r="L38" s="46">
        <v>1041214</v>
      </c>
      <c r="M38" s="46">
        <v>0</v>
      </c>
      <c r="N38" s="46">
        <f t="shared" si="32"/>
        <v>1041214</v>
      </c>
      <c r="O38" s="46">
        <v>0</v>
      </c>
      <c r="P38" s="46">
        <f t="shared" si="33"/>
        <v>1041214</v>
      </c>
      <c r="Q38" s="46">
        <v>1025470</v>
      </c>
      <c r="R38" s="46">
        <v>0</v>
      </c>
      <c r="S38" s="46">
        <f t="shared" si="34"/>
        <v>1025470</v>
      </c>
    </row>
    <row r="39" spans="1:19" s="17" customFormat="1">
      <c r="A39" s="14" t="s">
        <v>256</v>
      </c>
      <c r="B39" s="15" t="s">
        <v>9</v>
      </c>
      <c r="C39" s="15" t="s">
        <v>10</v>
      </c>
      <c r="D39" s="15" t="s">
        <v>214</v>
      </c>
      <c r="E39" s="22"/>
      <c r="F39" s="22"/>
      <c r="G39" s="52">
        <f t="shared" ref="G39:S40" si="36">G40</f>
        <v>3000000</v>
      </c>
      <c r="H39" s="52">
        <f t="shared" si="36"/>
        <v>0</v>
      </c>
      <c r="I39" s="52">
        <f t="shared" si="36"/>
        <v>3000000</v>
      </c>
      <c r="J39" s="52">
        <f t="shared" si="36"/>
        <v>1500000</v>
      </c>
      <c r="K39" s="52">
        <f t="shared" si="36"/>
        <v>4500000</v>
      </c>
      <c r="L39" s="52">
        <f t="shared" si="36"/>
        <v>0</v>
      </c>
      <c r="M39" s="52">
        <f t="shared" si="36"/>
        <v>0</v>
      </c>
      <c r="N39" s="52">
        <f t="shared" si="36"/>
        <v>0</v>
      </c>
      <c r="O39" s="52">
        <f t="shared" si="36"/>
        <v>0</v>
      </c>
      <c r="P39" s="52">
        <f t="shared" si="36"/>
        <v>0</v>
      </c>
      <c r="Q39" s="52">
        <f t="shared" si="36"/>
        <v>0</v>
      </c>
      <c r="R39" s="52">
        <f t="shared" si="36"/>
        <v>0</v>
      </c>
      <c r="S39" s="52">
        <f t="shared" si="36"/>
        <v>0</v>
      </c>
    </row>
    <row r="40" spans="1:19" s="17" customFormat="1">
      <c r="A40" s="14" t="s">
        <v>13</v>
      </c>
      <c r="B40" s="15" t="s">
        <v>9</v>
      </c>
      <c r="C40" s="15" t="s">
        <v>10</v>
      </c>
      <c r="D40" s="15" t="s">
        <v>214</v>
      </c>
      <c r="E40" s="15" t="s">
        <v>14</v>
      </c>
      <c r="F40" s="22"/>
      <c r="G40" s="52">
        <f t="shared" si="36"/>
        <v>3000000</v>
      </c>
      <c r="H40" s="52">
        <f t="shared" si="36"/>
        <v>0</v>
      </c>
      <c r="I40" s="52">
        <f t="shared" si="36"/>
        <v>3000000</v>
      </c>
      <c r="J40" s="52">
        <f t="shared" si="36"/>
        <v>1500000</v>
      </c>
      <c r="K40" s="52">
        <f t="shared" si="36"/>
        <v>4500000</v>
      </c>
      <c r="L40" s="52">
        <f t="shared" si="36"/>
        <v>0</v>
      </c>
      <c r="M40" s="52">
        <f t="shared" si="36"/>
        <v>0</v>
      </c>
      <c r="N40" s="52">
        <f t="shared" si="36"/>
        <v>0</v>
      </c>
      <c r="O40" s="52">
        <f t="shared" si="36"/>
        <v>0</v>
      </c>
      <c r="P40" s="52">
        <f t="shared" si="36"/>
        <v>0</v>
      </c>
      <c r="Q40" s="52">
        <f t="shared" si="36"/>
        <v>0</v>
      </c>
      <c r="R40" s="52">
        <f t="shared" si="36"/>
        <v>0</v>
      </c>
      <c r="S40" s="52">
        <f t="shared" si="36"/>
        <v>0</v>
      </c>
    </row>
    <row r="41" spans="1:19" s="17" customFormat="1">
      <c r="A41" s="14" t="s">
        <v>257</v>
      </c>
      <c r="B41" s="15" t="s">
        <v>9</v>
      </c>
      <c r="C41" s="15" t="s">
        <v>10</v>
      </c>
      <c r="D41" s="15" t="s">
        <v>214</v>
      </c>
      <c r="E41" s="15" t="s">
        <v>258</v>
      </c>
      <c r="F41" s="22"/>
      <c r="G41" s="52">
        <f t="shared" ref="G41:S41" si="37">G42+G44</f>
        <v>3000000</v>
      </c>
      <c r="H41" s="52">
        <f t="shared" si="37"/>
        <v>0</v>
      </c>
      <c r="I41" s="52">
        <f t="shared" si="37"/>
        <v>3000000</v>
      </c>
      <c r="J41" s="52">
        <f t="shared" ref="J41:K41" si="38">J42+J44</f>
        <v>1500000</v>
      </c>
      <c r="K41" s="52">
        <f t="shared" si="38"/>
        <v>4500000</v>
      </c>
      <c r="L41" s="52">
        <f t="shared" si="37"/>
        <v>0</v>
      </c>
      <c r="M41" s="52">
        <f t="shared" si="37"/>
        <v>0</v>
      </c>
      <c r="N41" s="52">
        <f t="shared" si="37"/>
        <v>0</v>
      </c>
      <c r="O41" s="52">
        <f t="shared" ref="O41:P41" si="39">O42+O44</f>
        <v>0</v>
      </c>
      <c r="P41" s="52">
        <f t="shared" si="39"/>
        <v>0</v>
      </c>
      <c r="Q41" s="52">
        <f t="shared" si="37"/>
        <v>0</v>
      </c>
      <c r="R41" s="52">
        <f t="shared" si="37"/>
        <v>0</v>
      </c>
      <c r="S41" s="52">
        <f t="shared" si="37"/>
        <v>0</v>
      </c>
    </row>
    <row r="42" spans="1:19" s="17" customFormat="1" ht="13.5">
      <c r="A42" s="56" t="s">
        <v>259</v>
      </c>
      <c r="B42" s="57" t="s">
        <v>9</v>
      </c>
      <c r="C42" s="58" t="s">
        <v>10</v>
      </c>
      <c r="D42" s="58" t="s">
        <v>214</v>
      </c>
      <c r="E42" s="58" t="s">
        <v>281</v>
      </c>
      <c r="F42" s="58"/>
      <c r="G42" s="52">
        <f t="shared" ref="G42:S42" si="40">G43</f>
        <v>1500000</v>
      </c>
      <c r="H42" s="52">
        <f t="shared" si="40"/>
        <v>0</v>
      </c>
      <c r="I42" s="52">
        <f t="shared" si="40"/>
        <v>1500000</v>
      </c>
      <c r="J42" s="52">
        <f t="shared" si="40"/>
        <v>750000</v>
      </c>
      <c r="K42" s="52">
        <f t="shared" si="40"/>
        <v>2250000</v>
      </c>
      <c r="L42" s="52">
        <f t="shared" si="40"/>
        <v>0</v>
      </c>
      <c r="M42" s="52">
        <f t="shared" si="40"/>
        <v>0</v>
      </c>
      <c r="N42" s="52">
        <f t="shared" si="40"/>
        <v>0</v>
      </c>
      <c r="O42" s="52">
        <f t="shared" si="40"/>
        <v>0</v>
      </c>
      <c r="P42" s="52">
        <f t="shared" si="40"/>
        <v>0</v>
      </c>
      <c r="Q42" s="52">
        <f t="shared" si="40"/>
        <v>0</v>
      </c>
      <c r="R42" s="52">
        <f t="shared" si="40"/>
        <v>0</v>
      </c>
      <c r="S42" s="52">
        <f t="shared" si="40"/>
        <v>0</v>
      </c>
    </row>
    <row r="43" spans="1:19" s="17" customFormat="1" ht="15">
      <c r="A43" s="61" t="s">
        <v>40</v>
      </c>
      <c r="B43" s="59" t="s">
        <v>9</v>
      </c>
      <c r="C43" s="60" t="s">
        <v>10</v>
      </c>
      <c r="D43" s="60" t="s">
        <v>214</v>
      </c>
      <c r="E43" s="60" t="s">
        <v>281</v>
      </c>
      <c r="F43" s="60" t="s">
        <v>41</v>
      </c>
      <c r="G43" s="46">
        <v>1500000</v>
      </c>
      <c r="H43" s="46">
        <v>0</v>
      </c>
      <c r="I43" s="46">
        <f>G43+H43</f>
        <v>1500000</v>
      </c>
      <c r="J43" s="46">
        <v>750000</v>
      </c>
      <c r="K43" s="46">
        <f>I43+J43</f>
        <v>2250000</v>
      </c>
      <c r="L43" s="46">
        <v>0</v>
      </c>
      <c r="M43" s="46">
        <v>0</v>
      </c>
      <c r="N43" s="46">
        <f>L43+M43</f>
        <v>0</v>
      </c>
      <c r="O43" s="46">
        <v>0</v>
      </c>
      <c r="P43" s="46">
        <f>N43+O43</f>
        <v>0</v>
      </c>
      <c r="Q43" s="46">
        <v>0</v>
      </c>
      <c r="R43" s="46">
        <v>0</v>
      </c>
      <c r="S43" s="46">
        <f>Q43+R43</f>
        <v>0</v>
      </c>
    </row>
    <row r="44" spans="1:19" s="17" customFormat="1" ht="13.5">
      <c r="A44" s="56" t="s">
        <v>260</v>
      </c>
      <c r="B44" s="57" t="s">
        <v>9</v>
      </c>
      <c r="C44" s="58" t="s">
        <v>10</v>
      </c>
      <c r="D44" s="58" t="s">
        <v>214</v>
      </c>
      <c r="E44" s="58" t="s">
        <v>282</v>
      </c>
      <c r="F44" s="22"/>
      <c r="G44" s="52">
        <f t="shared" ref="G44:S44" si="41">G45</f>
        <v>1500000</v>
      </c>
      <c r="H44" s="52">
        <f t="shared" si="41"/>
        <v>0</v>
      </c>
      <c r="I44" s="52">
        <f t="shared" si="41"/>
        <v>1500000</v>
      </c>
      <c r="J44" s="52">
        <f t="shared" si="41"/>
        <v>750000</v>
      </c>
      <c r="K44" s="52">
        <f t="shared" si="41"/>
        <v>2250000</v>
      </c>
      <c r="L44" s="52">
        <f t="shared" si="41"/>
        <v>0</v>
      </c>
      <c r="M44" s="52">
        <f t="shared" si="41"/>
        <v>0</v>
      </c>
      <c r="N44" s="52">
        <f t="shared" si="41"/>
        <v>0</v>
      </c>
      <c r="O44" s="52">
        <f t="shared" si="41"/>
        <v>0</v>
      </c>
      <c r="P44" s="52">
        <f t="shared" si="41"/>
        <v>0</v>
      </c>
      <c r="Q44" s="52">
        <f t="shared" si="41"/>
        <v>0</v>
      </c>
      <c r="R44" s="52">
        <f t="shared" si="41"/>
        <v>0</v>
      </c>
      <c r="S44" s="52">
        <f t="shared" si="41"/>
        <v>0</v>
      </c>
    </row>
    <row r="45" spans="1:19" s="17" customFormat="1">
      <c r="A45" s="62" t="s">
        <v>40</v>
      </c>
      <c r="B45" s="34" t="s">
        <v>9</v>
      </c>
      <c r="C45" s="34" t="s">
        <v>10</v>
      </c>
      <c r="D45" s="34" t="s">
        <v>214</v>
      </c>
      <c r="E45" s="49" t="s">
        <v>282</v>
      </c>
      <c r="F45" s="34" t="s">
        <v>41</v>
      </c>
      <c r="G45" s="46">
        <v>1500000</v>
      </c>
      <c r="H45" s="46">
        <v>0</v>
      </c>
      <c r="I45" s="46">
        <f>G45+H45</f>
        <v>1500000</v>
      </c>
      <c r="J45" s="46">
        <v>750000</v>
      </c>
      <c r="K45" s="46">
        <f>I45+J45</f>
        <v>2250000</v>
      </c>
      <c r="L45" s="46">
        <v>0</v>
      </c>
      <c r="M45" s="46">
        <v>0</v>
      </c>
      <c r="N45" s="46">
        <f>L45+M45</f>
        <v>0</v>
      </c>
      <c r="O45" s="46">
        <v>0</v>
      </c>
      <c r="P45" s="46">
        <f>N45+O45</f>
        <v>0</v>
      </c>
      <c r="Q45" s="46">
        <v>0</v>
      </c>
      <c r="R45" s="46">
        <v>0</v>
      </c>
      <c r="S45" s="46">
        <f>Q45+R45</f>
        <v>0</v>
      </c>
    </row>
    <row r="46" spans="1:19" s="17" customFormat="1">
      <c r="A46" s="14" t="s">
        <v>42</v>
      </c>
      <c r="B46" s="15" t="s">
        <v>9</v>
      </c>
      <c r="C46" s="15" t="s">
        <v>10</v>
      </c>
      <c r="D46" s="15" t="s">
        <v>43</v>
      </c>
      <c r="E46" s="40" t="s">
        <v>0</v>
      </c>
      <c r="F46" s="15" t="s">
        <v>0</v>
      </c>
      <c r="G46" s="52">
        <f t="shared" ref="G46:S47" si="42">G47</f>
        <v>4190310.73</v>
      </c>
      <c r="H46" s="52">
        <f t="shared" si="42"/>
        <v>13654293.98</v>
      </c>
      <c r="I46" s="52">
        <f t="shared" si="42"/>
        <v>17844604.710000001</v>
      </c>
      <c r="J46" s="52">
        <f t="shared" si="42"/>
        <v>0</v>
      </c>
      <c r="K46" s="52">
        <f t="shared" si="42"/>
        <v>17844604.710000001</v>
      </c>
      <c r="L46" s="52">
        <f t="shared" si="42"/>
        <v>2320342.58</v>
      </c>
      <c r="M46" s="52">
        <f t="shared" si="42"/>
        <v>-123910.43</v>
      </c>
      <c r="N46" s="52">
        <f t="shared" si="42"/>
        <v>2196432.15</v>
      </c>
      <c r="O46" s="52">
        <f t="shared" si="42"/>
        <v>0</v>
      </c>
      <c r="P46" s="52">
        <f t="shared" si="42"/>
        <v>2196432.15</v>
      </c>
      <c r="Q46" s="52">
        <f t="shared" si="42"/>
        <v>5930975.2199999997</v>
      </c>
      <c r="R46" s="52">
        <f t="shared" si="42"/>
        <v>0</v>
      </c>
      <c r="S46" s="52">
        <f t="shared" si="42"/>
        <v>5930975.2199999997</v>
      </c>
    </row>
    <row r="47" spans="1:19" s="17" customFormat="1">
      <c r="A47" s="14" t="s">
        <v>13</v>
      </c>
      <c r="B47" s="15" t="s">
        <v>9</v>
      </c>
      <c r="C47" s="15" t="s">
        <v>10</v>
      </c>
      <c r="D47" s="15" t="s">
        <v>43</v>
      </c>
      <c r="E47" s="15" t="s">
        <v>14</v>
      </c>
      <c r="F47" s="15" t="s">
        <v>0</v>
      </c>
      <c r="G47" s="52">
        <f t="shared" si="42"/>
        <v>4190310.73</v>
      </c>
      <c r="H47" s="52">
        <f t="shared" si="42"/>
        <v>13654293.98</v>
      </c>
      <c r="I47" s="52">
        <f t="shared" si="42"/>
        <v>17844604.710000001</v>
      </c>
      <c r="J47" s="52">
        <f t="shared" si="42"/>
        <v>0</v>
      </c>
      <c r="K47" s="52">
        <f t="shared" si="42"/>
        <v>17844604.710000001</v>
      </c>
      <c r="L47" s="52">
        <f t="shared" si="42"/>
        <v>2320342.58</v>
      </c>
      <c r="M47" s="52">
        <f t="shared" si="42"/>
        <v>-123910.43</v>
      </c>
      <c r="N47" s="52">
        <f t="shared" si="42"/>
        <v>2196432.15</v>
      </c>
      <c r="O47" s="52">
        <f t="shared" si="42"/>
        <v>0</v>
      </c>
      <c r="P47" s="52">
        <f t="shared" si="42"/>
        <v>2196432.15</v>
      </c>
      <c r="Q47" s="52">
        <f t="shared" si="42"/>
        <v>5930975.2199999997</v>
      </c>
      <c r="R47" s="52">
        <f t="shared" si="42"/>
        <v>0</v>
      </c>
      <c r="S47" s="52">
        <f t="shared" si="42"/>
        <v>5930975.2199999997</v>
      </c>
    </row>
    <row r="48" spans="1:19" s="17" customFormat="1">
      <c r="A48" s="14" t="s">
        <v>44</v>
      </c>
      <c r="B48" s="15" t="s">
        <v>9</v>
      </c>
      <c r="C48" s="15" t="s">
        <v>10</v>
      </c>
      <c r="D48" s="15" t="s">
        <v>43</v>
      </c>
      <c r="E48" s="15" t="s">
        <v>45</v>
      </c>
      <c r="F48" s="15" t="s">
        <v>0</v>
      </c>
      <c r="G48" s="52">
        <f t="shared" ref="G48:S48" si="43">G49+G51</f>
        <v>4190310.73</v>
      </c>
      <c r="H48" s="52">
        <f t="shared" si="43"/>
        <v>13654293.98</v>
      </c>
      <c r="I48" s="52">
        <f t="shared" si="43"/>
        <v>17844604.710000001</v>
      </c>
      <c r="J48" s="52">
        <f t="shared" ref="J48:K48" si="44">J49+J51</f>
        <v>0</v>
      </c>
      <c r="K48" s="52">
        <f t="shared" si="44"/>
        <v>17844604.710000001</v>
      </c>
      <c r="L48" s="52">
        <f t="shared" si="43"/>
        <v>2320342.58</v>
      </c>
      <c r="M48" s="52">
        <f t="shared" si="43"/>
        <v>-123910.43</v>
      </c>
      <c r="N48" s="52">
        <f t="shared" si="43"/>
        <v>2196432.15</v>
      </c>
      <c r="O48" s="52">
        <f t="shared" ref="O48:P48" si="45">O49+O51</f>
        <v>0</v>
      </c>
      <c r="P48" s="52">
        <f t="shared" si="45"/>
        <v>2196432.15</v>
      </c>
      <c r="Q48" s="52">
        <f t="shared" si="43"/>
        <v>5930975.2199999997</v>
      </c>
      <c r="R48" s="52">
        <f t="shared" si="43"/>
        <v>0</v>
      </c>
      <c r="S48" s="52">
        <f t="shared" si="43"/>
        <v>5930975.2199999997</v>
      </c>
    </row>
    <row r="49" spans="1:19" s="17" customFormat="1" ht="13.5">
      <c r="A49" s="18" t="s">
        <v>46</v>
      </c>
      <c r="B49" s="19" t="s">
        <v>9</v>
      </c>
      <c r="C49" s="19" t="s">
        <v>10</v>
      </c>
      <c r="D49" s="19" t="s">
        <v>43</v>
      </c>
      <c r="E49" s="19" t="s">
        <v>47</v>
      </c>
      <c r="F49" s="19" t="s">
        <v>0</v>
      </c>
      <c r="G49" s="33">
        <f t="shared" ref="G49:S49" si="46">G50</f>
        <v>2690310.73</v>
      </c>
      <c r="H49" s="33">
        <f t="shared" si="46"/>
        <v>13654293.98</v>
      </c>
      <c r="I49" s="33">
        <f t="shared" si="46"/>
        <v>16344604.710000001</v>
      </c>
      <c r="J49" s="33">
        <f t="shared" si="46"/>
        <v>0</v>
      </c>
      <c r="K49" s="33">
        <f t="shared" si="46"/>
        <v>16344604.710000001</v>
      </c>
      <c r="L49" s="33">
        <f t="shared" si="46"/>
        <v>820342.58</v>
      </c>
      <c r="M49" s="33">
        <f t="shared" si="46"/>
        <v>-123910.43</v>
      </c>
      <c r="N49" s="33">
        <f t="shared" si="46"/>
        <v>696432.14999999991</v>
      </c>
      <c r="O49" s="33">
        <f t="shared" si="46"/>
        <v>0</v>
      </c>
      <c r="P49" s="33">
        <f t="shared" si="46"/>
        <v>696432.14999999991</v>
      </c>
      <c r="Q49" s="33">
        <f t="shared" si="46"/>
        <v>4430975.22</v>
      </c>
      <c r="R49" s="33">
        <f t="shared" si="46"/>
        <v>0</v>
      </c>
      <c r="S49" s="33">
        <f t="shared" si="46"/>
        <v>4430975.22</v>
      </c>
    </row>
    <row r="50" spans="1:19" s="17" customFormat="1">
      <c r="A50" s="21" t="s">
        <v>40</v>
      </c>
      <c r="B50" s="22" t="s">
        <v>9</v>
      </c>
      <c r="C50" s="22" t="s">
        <v>10</v>
      </c>
      <c r="D50" s="22" t="s">
        <v>43</v>
      </c>
      <c r="E50" s="22" t="s">
        <v>47</v>
      </c>
      <c r="F50" s="22" t="s">
        <v>41</v>
      </c>
      <c r="G50" s="80">
        <f>2772464.77-35000-47154.04</f>
        <v>2690310.73</v>
      </c>
      <c r="H50" s="80">
        <v>13654293.98</v>
      </c>
      <c r="I50" s="80">
        <f>G50+H50</f>
        <v>16344604.710000001</v>
      </c>
      <c r="J50" s="80">
        <v>0</v>
      </c>
      <c r="K50" s="80">
        <f>I50+J50</f>
        <v>16344604.710000001</v>
      </c>
      <c r="L50" s="80">
        <f>855342.58-35000</f>
        <v>820342.58</v>
      </c>
      <c r="M50" s="80">
        <v>-123910.43</v>
      </c>
      <c r="N50" s="80">
        <f>L50+M50</f>
        <v>696432.14999999991</v>
      </c>
      <c r="O50" s="80">
        <v>0</v>
      </c>
      <c r="P50" s="80">
        <f>N50+O50</f>
        <v>696432.14999999991</v>
      </c>
      <c r="Q50" s="80">
        <f>4465975.22-35000</f>
        <v>4430975.22</v>
      </c>
      <c r="R50" s="80">
        <v>0</v>
      </c>
      <c r="S50" s="80">
        <f>Q50+R50</f>
        <v>4430975.22</v>
      </c>
    </row>
    <row r="51" spans="1:19" s="17" customFormat="1" ht="27">
      <c r="A51" s="18" t="s">
        <v>48</v>
      </c>
      <c r="B51" s="19" t="s">
        <v>9</v>
      </c>
      <c r="C51" s="19" t="s">
        <v>10</v>
      </c>
      <c r="D51" s="19" t="s">
        <v>43</v>
      </c>
      <c r="E51" s="19" t="s">
        <v>49</v>
      </c>
      <c r="F51" s="19" t="s">
        <v>0</v>
      </c>
      <c r="G51" s="33">
        <f t="shared" ref="G51:S51" si="47">G52</f>
        <v>1500000</v>
      </c>
      <c r="H51" s="33">
        <f t="shared" si="47"/>
        <v>0</v>
      </c>
      <c r="I51" s="33">
        <f t="shared" si="47"/>
        <v>1500000</v>
      </c>
      <c r="J51" s="33">
        <f t="shared" si="47"/>
        <v>0</v>
      </c>
      <c r="K51" s="33">
        <f t="shared" si="47"/>
        <v>1500000</v>
      </c>
      <c r="L51" s="33">
        <f t="shared" si="47"/>
        <v>1500000</v>
      </c>
      <c r="M51" s="33">
        <f t="shared" si="47"/>
        <v>0</v>
      </c>
      <c r="N51" s="33">
        <f t="shared" si="47"/>
        <v>1500000</v>
      </c>
      <c r="O51" s="33">
        <f t="shared" si="47"/>
        <v>0</v>
      </c>
      <c r="P51" s="33">
        <f t="shared" si="47"/>
        <v>1500000</v>
      </c>
      <c r="Q51" s="33">
        <f t="shared" si="47"/>
        <v>1500000</v>
      </c>
      <c r="R51" s="33">
        <f t="shared" si="47"/>
        <v>0</v>
      </c>
      <c r="S51" s="33">
        <f t="shared" si="47"/>
        <v>1500000</v>
      </c>
    </row>
    <row r="52" spans="1:19" s="17" customFormat="1">
      <c r="A52" s="21" t="s">
        <v>40</v>
      </c>
      <c r="B52" s="22" t="s">
        <v>9</v>
      </c>
      <c r="C52" s="22" t="s">
        <v>10</v>
      </c>
      <c r="D52" s="22" t="s">
        <v>43</v>
      </c>
      <c r="E52" s="22" t="s">
        <v>49</v>
      </c>
      <c r="F52" s="22" t="s">
        <v>41</v>
      </c>
      <c r="G52" s="46">
        <v>1500000</v>
      </c>
      <c r="H52" s="46">
        <v>0</v>
      </c>
      <c r="I52" s="46">
        <f>G52+H52</f>
        <v>1500000</v>
      </c>
      <c r="J52" s="46">
        <v>0</v>
      </c>
      <c r="K52" s="46">
        <f>I52+J52</f>
        <v>1500000</v>
      </c>
      <c r="L52" s="46">
        <v>1500000</v>
      </c>
      <c r="M52" s="46">
        <v>0</v>
      </c>
      <c r="N52" s="46">
        <f>L52+M52</f>
        <v>1500000</v>
      </c>
      <c r="O52" s="46">
        <v>0</v>
      </c>
      <c r="P52" s="46">
        <f>N52+O52</f>
        <v>1500000</v>
      </c>
      <c r="Q52" s="46">
        <v>1500000</v>
      </c>
      <c r="R52" s="46">
        <v>0</v>
      </c>
      <c r="S52" s="46">
        <f>Q52+R52</f>
        <v>1500000</v>
      </c>
    </row>
    <row r="53" spans="1:19" s="17" customFormat="1">
      <c r="A53" s="14" t="s">
        <v>50</v>
      </c>
      <c r="B53" s="15" t="s">
        <v>9</v>
      </c>
      <c r="C53" s="15" t="s">
        <v>10</v>
      </c>
      <c r="D53" s="15" t="s">
        <v>51</v>
      </c>
      <c r="E53" s="15" t="s">
        <v>0</v>
      </c>
      <c r="F53" s="15" t="s">
        <v>0</v>
      </c>
      <c r="G53" s="52">
        <f t="shared" ref="G53:S53" si="48">G54+G68</f>
        <v>18177172.75</v>
      </c>
      <c r="H53" s="52">
        <f t="shared" si="48"/>
        <v>1347663.32</v>
      </c>
      <c r="I53" s="52">
        <f t="shared" si="48"/>
        <v>19524836.07</v>
      </c>
      <c r="J53" s="52">
        <f t="shared" ref="J53:K53" si="49">J54+J68</f>
        <v>-630615.57999999996</v>
      </c>
      <c r="K53" s="52">
        <f t="shared" si="49"/>
        <v>18894220.490000002</v>
      </c>
      <c r="L53" s="52">
        <f t="shared" si="48"/>
        <v>30945430</v>
      </c>
      <c r="M53" s="52">
        <f t="shared" si="48"/>
        <v>2478208.6</v>
      </c>
      <c r="N53" s="52">
        <f t="shared" si="48"/>
        <v>33423638.600000001</v>
      </c>
      <c r="O53" s="52">
        <f t="shared" ref="O53:P53" si="50">O54+O68</f>
        <v>0</v>
      </c>
      <c r="P53" s="52">
        <f t="shared" si="50"/>
        <v>33423638.600000001</v>
      </c>
      <c r="Q53" s="52">
        <f t="shared" si="48"/>
        <v>38775297.670000002</v>
      </c>
      <c r="R53" s="52">
        <f t="shared" si="48"/>
        <v>0</v>
      </c>
      <c r="S53" s="52">
        <f t="shared" si="48"/>
        <v>38775297.670000002</v>
      </c>
    </row>
    <row r="54" spans="1:19" s="17" customFormat="1">
      <c r="A54" s="14" t="s">
        <v>52</v>
      </c>
      <c r="B54" s="15" t="s">
        <v>9</v>
      </c>
      <c r="C54" s="15" t="s">
        <v>10</v>
      </c>
      <c r="D54" s="15" t="s">
        <v>51</v>
      </c>
      <c r="E54" s="15" t="s">
        <v>53</v>
      </c>
      <c r="F54" s="15" t="s">
        <v>0</v>
      </c>
      <c r="G54" s="52">
        <f t="shared" ref="G54:S54" si="51">G55+G65</f>
        <v>7022496</v>
      </c>
      <c r="H54" s="52">
        <f t="shared" si="51"/>
        <v>1347663.32</v>
      </c>
      <c r="I54" s="52">
        <f t="shared" si="51"/>
        <v>8370159.3200000003</v>
      </c>
      <c r="J54" s="52">
        <f t="shared" ref="J54:K54" si="52">J55+J65</f>
        <v>-630615.57999999996</v>
      </c>
      <c r="K54" s="52">
        <f t="shared" si="52"/>
        <v>7739543.7400000002</v>
      </c>
      <c r="L54" s="52">
        <f t="shared" si="51"/>
        <v>7233171.1799999997</v>
      </c>
      <c r="M54" s="52">
        <f t="shared" si="51"/>
        <v>2478208.6</v>
      </c>
      <c r="N54" s="52">
        <f t="shared" si="51"/>
        <v>9711379.7799999993</v>
      </c>
      <c r="O54" s="52">
        <f t="shared" ref="O54:P54" si="53">O55+O65</f>
        <v>0</v>
      </c>
      <c r="P54" s="52">
        <f t="shared" si="53"/>
        <v>9711379.7799999993</v>
      </c>
      <c r="Q54" s="52">
        <f t="shared" si="51"/>
        <v>7233171.1799999997</v>
      </c>
      <c r="R54" s="52">
        <f t="shared" si="51"/>
        <v>0</v>
      </c>
      <c r="S54" s="52">
        <f t="shared" si="51"/>
        <v>7233171.1799999997</v>
      </c>
    </row>
    <row r="55" spans="1:19" s="17" customFormat="1">
      <c r="A55" s="14" t="s">
        <v>54</v>
      </c>
      <c r="B55" s="15" t="s">
        <v>9</v>
      </c>
      <c r="C55" s="15" t="s">
        <v>10</v>
      </c>
      <c r="D55" s="15" t="s">
        <v>51</v>
      </c>
      <c r="E55" s="15" t="s">
        <v>55</v>
      </c>
      <c r="F55" s="15" t="s">
        <v>0</v>
      </c>
      <c r="G55" s="52">
        <f t="shared" ref="G55:S55" si="54">G56+G58+G60+G62</f>
        <v>5132586</v>
      </c>
      <c r="H55" s="52">
        <f t="shared" si="54"/>
        <v>285573.92</v>
      </c>
      <c r="I55" s="52">
        <f t="shared" si="54"/>
        <v>5418159.9199999999</v>
      </c>
      <c r="J55" s="52">
        <f t="shared" ref="J55:K55" si="55">J56+J58+J60+J62</f>
        <v>164000</v>
      </c>
      <c r="K55" s="52">
        <f t="shared" si="55"/>
        <v>5582159.9199999999</v>
      </c>
      <c r="L55" s="52">
        <f t="shared" si="54"/>
        <v>5286563.18</v>
      </c>
      <c r="M55" s="52">
        <f t="shared" si="54"/>
        <v>0</v>
      </c>
      <c r="N55" s="52">
        <f t="shared" si="54"/>
        <v>5286563.18</v>
      </c>
      <c r="O55" s="52">
        <f t="shared" ref="O55:P55" si="56">O56+O58+O60+O62</f>
        <v>0</v>
      </c>
      <c r="P55" s="52">
        <f t="shared" si="56"/>
        <v>5286563.18</v>
      </c>
      <c r="Q55" s="52">
        <f t="shared" si="54"/>
        <v>5286563.18</v>
      </c>
      <c r="R55" s="52">
        <f t="shared" si="54"/>
        <v>0</v>
      </c>
      <c r="S55" s="52">
        <f t="shared" si="54"/>
        <v>5286563.18</v>
      </c>
    </row>
    <row r="56" spans="1:19" s="17" customFormat="1" ht="13.5">
      <c r="A56" s="18" t="s">
        <v>56</v>
      </c>
      <c r="B56" s="19" t="s">
        <v>9</v>
      </c>
      <c r="C56" s="19" t="s">
        <v>10</v>
      </c>
      <c r="D56" s="19" t="s">
        <v>51</v>
      </c>
      <c r="E56" s="19" t="s">
        <v>57</v>
      </c>
      <c r="F56" s="19" t="s">
        <v>0</v>
      </c>
      <c r="G56" s="33">
        <f t="shared" ref="G56:S56" si="57">G57</f>
        <v>266797</v>
      </c>
      <c r="H56" s="33">
        <f t="shared" si="57"/>
        <v>0</v>
      </c>
      <c r="I56" s="33">
        <f t="shared" si="57"/>
        <v>266797</v>
      </c>
      <c r="J56" s="33">
        <f t="shared" si="57"/>
        <v>314000</v>
      </c>
      <c r="K56" s="33">
        <f t="shared" si="57"/>
        <v>580797</v>
      </c>
      <c r="L56" s="33">
        <f t="shared" si="57"/>
        <v>274800.90999999997</v>
      </c>
      <c r="M56" s="33">
        <f t="shared" si="57"/>
        <v>0</v>
      </c>
      <c r="N56" s="33">
        <f t="shared" si="57"/>
        <v>274800.90999999997</v>
      </c>
      <c r="O56" s="33">
        <f t="shared" si="57"/>
        <v>0</v>
      </c>
      <c r="P56" s="33">
        <f t="shared" si="57"/>
        <v>274800.90999999997</v>
      </c>
      <c r="Q56" s="33">
        <f t="shared" si="57"/>
        <v>274800.90999999997</v>
      </c>
      <c r="R56" s="33">
        <f t="shared" si="57"/>
        <v>0</v>
      </c>
      <c r="S56" s="33">
        <f t="shared" si="57"/>
        <v>274800.90999999997</v>
      </c>
    </row>
    <row r="57" spans="1:19" s="17" customFormat="1">
      <c r="A57" s="21" t="s">
        <v>21</v>
      </c>
      <c r="B57" s="22" t="s">
        <v>9</v>
      </c>
      <c r="C57" s="22" t="s">
        <v>10</v>
      </c>
      <c r="D57" s="22" t="s">
        <v>51</v>
      </c>
      <c r="E57" s="22" t="s">
        <v>57</v>
      </c>
      <c r="F57" s="22" t="s">
        <v>22</v>
      </c>
      <c r="G57" s="46">
        <v>266797</v>
      </c>
      <c r="H57" s="46">
        <v>0</v>
      </c>
      <c r="I57" s="46">
        <f>G57+H57</f>
        <v>266797</v>
      </c>
      <c r="J57" s="46">
        <v>314000</v>
      </c>
      <c r="K57" s="46">
        <f>I57+J57</f>
        <v>580797</v>
      </c>
      <c r="L57" s="46">
        <v>274800.90999999997</v>
      </c>
      <c r="M57" s="46">
        <v>0</v>
      </c>
      <c r="N57" s="46">
        <f>L57+M57</f>
        <v>274800.90999999997</v>
      </c>
      <c r="O57" s="46">
        <v>0</v>
      </c>
      <c r="P57" s="46">
        <f>N57+O57</f>
        <v>274800.90999999997</v>
      </c>
      <c r="Q57" s="46">
        <v>274800.90999999997</v>
      </c>
      <c r="R57" s="46">
        <v>0</v>
      </c>
      <c r="S57" s="46">
        <f>Q57+R57</f>
        <v>274800.90999999997</v>
      </c>
    </row>
    <row r="58" spans="1:19" s="17" customFormat="1" ht="13.5">
      <c r="A58" s="18" t="s">
        <v>58</v>
      </c>
      <c r="B58" s="19" t="s">
        <v>9</v>
      </c>
      <c r="C58" s="19" t="s">
        <v>10</v>
      </c>
      <c r="D58" s="19" t="s">
        <v>51</v>
      </c>
      <c r="E58" s="19" t="s">
        <v>59</v>
      </c>
      <c r="F58" s="19" t="s">
        <v>0</v>
      </c>
      <c r="G58" s="33">
        <f t="shared" ref="G58:S58" si="58">G59</f>
        <v>259403</v>
      </c>
      <c r="H58" s="33">
        <f t="shared" si="58"/>
        <v>0</v>
      </c>
      <c r="I58" s="33">
        <f t="shared" si="58"/>
        <v>259403</v>
      </c>
      <c r="J58" s="33">
        <f t="shared" si="58"/>
        <v>-150000</v>
      </c>
      <c r="K58" s="33">
        <f t="shared" si="58"/>
        <v>109403</v>
      </c>
      <c r="L58" s="33">
        <f t="shared" si="58"/>
        <v>267185.09000000003</v>
      </c>
      <c r="M58" s="33">
        <f t="shared" si="58"/>
        <v>0</v>
      </c>
      <c r="N58" s="33">
        <f t="shared" si="58"/>
        <v>267185.09000000003</v>
      </c>
      <c r="O58" s="33">
        <f t="shared" si="58"/>
        <v>0</v>
      </c>
      <c r="P58" s="33">
        <f t="shared" si="58"/>
        <v>267185.09000000003</v>
      </c>
      <c r="Q58" s="33">
        <f t="shared" si="58"/>
        <v>267185.09000000003</v>
      </c>
      <c r="R58" s="33">
        <f t="shared" si="58"/>
        <v>0</v>
      </c>
      <c r="S58" s="33">
        <f t="shared" si="58"/>
        <v>267185.09000000003</v>
      </c>
    </row>
    <row r="59" spans="1:19" s="17" customFormat="1">
      <c r="A59" s="21" t="s">
        <v>21</v>
      </c>
      <c r="B59" s="22" t="s">
        <v>9</v>
      </c>
      <c r="C59" s="22" t="s">
        <v>10</v>
      </c>
      <c r="D59" s="22" t="s">
        <v>51</v>
      </c>
      <c r="E59" s="22" t="s">
        <v>59</v>
      </c>
      <c r="F59" s="22" t="s">
        <v>22</v>
      </c>
      <c r="G59" s="46">
        <v>259403</v>
      </c>
      <c r="H59" s="46">
        <v>0</v>
      </c>
      <c r="I59" s="46">
        <f>G59+H59</f>
        <v>259403</v>
      </c>
      <c r="J59" s="46">
        <v>-150000</v>
      </c>
      <c r="K59" s="46">
        <f>I59+J59</f>
        <v>109403</v>
      </c>
      <c r="L59" s="46">
        <v>267185.09000000003</v>
      </c>
      <c r="M59" s="46">
        <v>0</v>
      </c>
      <c r="N59" s="46">
        <f>L59+M59</f>
        <v>267185.09000000003</v>
      </c>
      <c r="O59" s="46">
        <v>0</v>
      </c>
      <c r="P59" s="46">
        <f>N59+O59</f>
        <v>267185.09000000003</v>
      </c>
      <c r="Q59" s="46">
        <v>267185.09000000003</v>
      </c>
      <c r="R59" s="46">
        <v>0</v>
      </c>
      <c r="S59" s="46">
        <f>Q59+R59</f>
        <v>267185.09000000003</v>
      </c>
    </row>
    <row r="60" spans="1:19" s="17" customFormat="1" ht="13.5">
      <c r="A60" s="18" t="s">
        <v>60</v>
      </c>
      <c r="B60" s="19" t="s">
        <v>9</v>
      </c>
      <c r="C60" s="19" t="s">
        <v>10</v>
      </c>
      <c r="D60" s="19" t="s">
        <v>51</v>
      </c>
      <c r="E60" s="19" t="s">
        <v>61</v>
      </c>
      <c r="F60" s="19" t="s">
        <v>0</v>
      </c>
      <c r="G60" s="33">
        <f t="shared" ref="G60:S60" si="59">G61</f>
        <v>2319270</v>
      </c>
      <c r="H60" s="33">
        <f t="shared" si="59"/>
        <v>0</v>
      </c>
      <c r="I60" s="33">
        <f t="shared" si="59"/>
        <v>2319270</v>
      </c>
      <c r="J60" s="33">
        <f t="shared" si="59"/>
        <v>0</v>
      </c>
      <c r="K60" s="33">
        <f t="shared" si="59"/>
        <v>2319270</v>
      </c>
      <c r="L60" s="33">
        <f t="shared" si="59"/>
        <v>2388848.1</v>
      </c>
      <c r="M60" s="33">
        <f t="shared" si="59"/>
        <v>0</v>
      </c>
      <c r="N60" s="33">
        <f t="shared" si="59"/>
        <v>2388848.1</v>
      </c>
      <c r="O60" s="33">
        <f t="shared" si="59"/>
        <v>0</v>
      </c>
      <c r="P60" s="33">
        <f t="shared" si="59"/>
        <v>2388848.1</v>
      </c>
      <c r="Q60" s="33">
        <f t="shared" si="59"/>
        <v>2388848.1</v>
      </c>
      <c r="R60" s="33">
        <f t="shared" si="59"/>
        <v>0</v>
      </c>
      <c r="S60" s="33">
        <f t="shared" si="59"/>
        <v>2388848.1</v>
      </c>
    </row>
    <row r="61" spans="1:19" s="17" customFormat="1">
      <c r="A61" s="21" t="s">
        <v>21</v>
      </c>
      <c r="B61" s="22" t="s">
        <v>9</v>
      </c>
      <c r="C61" s="22" t="s">
        <v>10</v>
      </c>
      <c r="D61" s="22" t="s">
        <v>51</v>
      </c>
      <c r="E61" s="22" t="s">
        <v>61</v>
      </c>
      <c r="F61" s="22" t="s">
        <v>22</v>
      </c>
      <c r="G61" s="46">
        <v>2319270</v>
      </c>
      <c r="H61" s="46">
        <v>0</v>
      </c>
      <c r="I61" s="46">
        <f>G61+H61</f>
        <v>2319270</v>
      </c>
      <c r="J61" s="46">
        <v>0</v>
      </c>
      <c r="K61" s="46">
        <f>I61+J61</f>
        <v>2319270</v>
      </c>
      <c r="L61" s="46">
        <v>2388848.1</v>
      </c>
      <c r="M61" s="46">
        <v>0</v>
      </c>
      <c r="N61" s="46">
        <f>L61+M61</f>
        <v>2388848.1</v>
      </c>
      <c r="O61" s="46">
        <v>0</v>
      </c>
      <c r="P61" s="46">
        <f>N61+O61</f>
        <v>2388848.1</v>
      </c>
      <c r="Q61" s="46">
        <v>2388848.1</v>
      </c>
      <c r="R61" s="46">
        <v>0</v>
      </c>
      <c r="S61" s="46">
        <f>Q61+R61</f>
        <v>2388848.1</v>
      </c>
    </row>
    <row r="62" spans="1:19" s="17" customFormat="1" ht="13.5">
      <c r="A62" s="18" t="s">
        <v>62</v>
      </c>
      <c r="B62" s="19" t="s">
        <v>9</v>
      </c>
      <c r="C62" s="19" t="s">
        <v>10</v>
      </c>
      <c r="D62" s="19" t="s">
        <v>51</v>
      </c>
      <c r="E62" s="19" t="s">
        <v>63</v>
      </c>
      <c r="F62" s="19" t="s">
        <v>0</v>
      </c>
      <c r="G62" s="33">
        <f t="shared" ref="G62:S62" si="60">G63+G64</f>
        <v>2287116</v>
      </c>
      <c r="H62" s="33">
        <f t="shared" si="60"/>
        <v>285573.92</v>
      </c>
      <c r="I62" s="33">
        <f t="shared" si="60"/>
        <v>2572689.92</v>
      </c>
      <c r="J62" s="33">
        <f t="shared" ref="J62:K62" si="61">J63+J64</f>
        <v>0</v>
      </c>
      <c r="K62" s="33">
        <f t="shared" si="61"/>
        <v>2572689.92</v>
      </c>
      <c r="L62" s="33">
        <f t="shared" si="60"/>
        <v>2355729.08</v>
      </c>
      <c r="M62" s="33">
        <f t="shared" si="60"/>
        <v>0</v>
      </c>
      <c r="N62" s="33">
        <f t="shared" si="60"/>
        <v>2355729.08</v>
      </c>
      <c r="O62" s="33">
        <f t="shared" ref="O62:P62" si="62">O63+O64</f>
        <v>0</v>
      </c>
      <c r="P62" s="33">
        <f t="shared" si="62"/>
        <v>2355729.08</v>
      </c>
      <c r="Q62" s="33">
        <f t="shared" si="60"/>
        <v>2355729.08</v>
      </c>
      <c r="R62" s="33">
        <f t="shared" si="60"/>
        <v>0</v>
      </c>
      <c r="S62" s="33">
        <f t="shared" si="60"/>
        <v>2355729.08</v>
      </c>
    </row>
    <row r="63" spans="1:19" s="17" customFormat="1">
      <c r="A63" s="21" t="s">
        <v>21</v>
      </c>
      <c r="B63" s="22" t="s">
        <v>9</v>
      </c>
      <c r="C63" s="22" t="s">
        <v>10</v>
      </c>
      <c r="D63" s="22" t="s">
        <v>51</v>
      </c>
      <c r="E63" s="22" t="s">
        <v>63</v>
      </c>
      <c r="F63" s="22" t="s">
        <v>22</v>
      </c>
      <c r="G63" s="46">
        <v>2287116</v>
      </c>
      <c r="H63" s="46">
        <f>113071.23+91428.94+80073.75</f>
        <v>284573.92</v>
      </c>
      <c r="I63" s="46">
        <f>G63+H63</f>
        <v>2571689.92</v>
      </c>
      <c r="J63" s="46">
        <v>0</v>
      </c>
      <c r="K63" s="46">
        <f>I63+J63</f>
        <v>2571689.92</v>
      </c>
      <c r="L63" s="46">
        <v>2355729.08</v>
      </c>
      <c r="M63" s="46">
        <v>0</v>
      </c>
      <c r="N63" s="46">
        <f>L63+M63</f>
        <v>2355729.08</v>
      </c>
      <c r="O63" s="46">
        <v>0</v>
      </c>
      <c r="P63" s="46">
        <f>N63+O63</f>
        <v>2355729.08</v>
      </c>
      <c r="Q63" s="46">
        <v>2355729.08</v>
      </c>
      <c r="R63" s="46">
        <v>0</v>
      </c>
      <c r="S63" s="46">
        <f>Q63+R63</f>
        <v>2355729.08</v>
      </c>
    </row>
    <row r="64" spans="1:19" s="37" customFormat="1">
      <c r="A64" s="35" t="s">
        <v>40</v>
      </c>
      <c r="B64" s="36" t="s">
        <v>9</v>
      </c>
      <c r="C64" s="36" t="s">
        <v>10</v>
      </c>
      <c r="D64" s="36" t="s">
        <v>51</v>
      </c>
      <c r="E64" s="36" t="s">
        <v>63</v>
      </c>
      <c r="F64" s="36" t="s">
        <v>41</v>
      </c>
      <c r="G64" s="46">
        <v>0</v>
      </c>
      <c r="H64" s="46">
        <v>1000</v>
      </c>
      <c r="I64" s="46">
        <f>G64+H64</f>
        <v>1000</v>
      </c>
      <c r="J64" s="46">
        <v>0</v>
      </c>
      <c r="K64" s="46">
        <f>I64+J64</f>
        <v>1000</v>
      </c>
      <c r="L64" s="46">
        <v>0</v>
      </c>
      <c r="M64" s="46">
        <v>0</v>
      </c>
      <c r="N64" s="46">
        <f>L64+M64</f>
        <v>0</v>
      </c>
      <c r="O64" s="46">
        <v>0</v>
      </c>
      <c r="P64" s="46">
        <f>N64+O64</f>
        <v>0</v>
      </c>
      <c r="Q64" s="46">
        <v>0</v>
      </c>
      <c r="R64" s="46">
        <v>0</v>
      </c>
      <c r="S64" s="46">
        <f>Q64+R64</f>
        <v>0</v>
      </c>
    </row>
    <row r="65" spans="1:19" s="17" customFormat="1">
      <c r="A65" s="14" t="s">
        <v>64</v>
      </c>
      <c r="B65" s="15" t="s">
        <v>9</v>
      </c>
      <c r="C65" s="15" t="s">
        <v>10</v>
      </c>
      <c r="D65" s="15" t="s">
        <v>51</v>
      </c>
      <c r="E65" s="15" t="s">
        <v>65</v>
      </c>
      <c r="F65" s="15" t="s">
        <v>0</v>
      </c>
      <c r="G65" s="52">
        <f t="shared" ref="G65:S66" si="63">G66</f>
        <v>1889910</v>
      </c>
      <c r="H65" s="52">
        <f t="shared" si="63"/>
        <v>1062089.4000000001</v>
      </c>
      <c r="I65" s="52">
        <f t="shared" si="63"/>
        <v>2951999.4000000004</v>
      </c>
      <c r="J65" s="52">
        <f t="shared" si="63"/>
        <v>-794615.58</v>
      </c>
      <c r="K65" s="52">
        <f t="shared" si="63"/>
        <v>2157383.8200000003</v>
      </c>
      <c r="L65" s="52">
        <f t="shared" si="63"/>
        <v>1946608</v>
      </c>
      <c r="M65" s="52">
        <f t="shared" si="63"/>
        <v>2478208.6</v>
      </c>
      <c r="N65" s="52">
        <f t="shared" si="63"/>
        <v>4424816.5999999996</v>
      </c>
      <c r="O65" s="52">
        <f t="shared" si="63"/>
        <v>0</v>
      </c>
      <c r="P65" s="52">
        <f t="shared" si="63"/>
        <v>4424816.5999999996</v>
      </c>
      <c r="Q65" s="52">
        <f t="shared" si="63"/>
        <v>1946608</v>
      </c>
      <c r="R65" s="52">
        <f t="shared" si="63"/>
        <v>0</v>
      </c>
      <c r="S65" s="52">
        <f t="shared" si="63"/>
        <v>1946608</v>
      </c>
    </row>
    <row r="66" spans="1:19" s="17" customFormat="1" ht="27">
      <c r="A66" s="18" t="s">
        <v>66</v>
      </c>
      <c r="B66" s="19" t="s">
        <v>9</v>
      </c>
      <c r="C66" s="19" t="s">
        <v>10</v>
      </c>
      <c r="D66" s="19" t="s">
        <v>51</v>
      </c>
      <c r="E66" s="19" t="s">
        <v>67</v>
      </c>
      <c r="F66" s="19" t="s">
        <v>0</v>
      </c>
      <c r="G66" s="33">
        <f t="shared" si="63"/>
        <v>1889910</v>
      </c>
      <c r="H66" s="33">
        <f t="shared" si="63"/>
        <v>1062089.4000000001</v>
      </c>
      <c r="I66" s="33">
        <f t="shared" si="63"/>
        <v>2951999.4000000004</v>
      </c>
      <c r="J66" s="33">
        <f t="shared" si="63"/>
        <v>-794615.58</v>
      </c>
      <c r="K66" s="33">
        <f t="shared" si="63"/>
        <v>2157383.8200000003</v>
      </c>
      <c r="L66" s="33">
        <f t="shared" si="63"/>
        <v>1946608</v>
      </c>
      <c r="M66" s="33">
        <f t="shared" si="63"/>
        <v>2478208.6</v>
      </c>
      <c r="N66" s="33">
        <f t="shared" si="63"/>
        <v>4424816.5999999996</v>
      </c>
      <c r="O66" s="33">
        <f t="shared" si="63"/>
        <v>0</v>
      </c>
      <c r="P66" s="33">
        <f t="shared" si="63"/>
        <v>4424816.5999999996</v>
      </c>
      <c r="Q66" s="33">
        <f t="shared" si="63"/>
        <v>1946608</v>
      </c>
      <c r="R66" s="33">
        <f t="shared" si="63"/>
        <v>0</v>
      </c>
      <c r="S66" s="33">
        <f t="shared" si="63"/>
        <v>1946608</v>
      </c>
    </row>
    <row r="67" spans="1:19" s="17" customFormat="1">
      <c r="A67" s="21" t="s">
        <v>21</v>
      </c>
      <c r="B67" s="22" t="s">
        <v>9</v>
      </c>
      <c r="C67" s="22" t="s">
        <v>10</v>
      </c>
      <c r="D67" s="22" t="s">
        <v>51</v>
      </c>
      <c r="E67" s="22" t="s">
        <v>67</v>
      </c>
      <c r="F67" s="22" t="s">
        <v>22</v>
      </c>
      <c r="G67" s="46">
        <v>1889910</v>
      </c>
      <c r="H67" s="46">
        <f>53104.47+1008984.93</f>
        <v>1062089.4000000001</v>
      </c>
      <c r="I67" s="46">
        <f>G67+H67</f>
        <v>2951999.4000000004</v>
      </c>
      <c r="J67" s="46">
        <f>-630615.58-164000</f>
        <v>-794615.58</v>
      </c>
      <c r="K67" s="46">
        <f>I67+J67</f>
        <v>2157383.8200000003</v>
      </c>
      <c r="L67" s="46">
        <v>1946608</v>
      </c>
      <c r="M67" s="46">
        <f>123910.43+2354298.17</f>
        <v>2478208.6</v>
      </c>
      <c r="N67" s="46">
        <f>L67+M67</f>
        <v>4424816.5999999996</v>
      </c>
      <c r="O67" s="46">
        <v>0</v>
      </c>
      <c r="P67" s="46">
        <f>N67+O67</f>
        <v>4424816.5999999996</v>
      </c>
      <c r="Q67" s="46">
        <v>1946608</v>
      </c>
      <c r="R67" s="46">
        <v>0</v>
      </c>
      <c r="S67" s="46">
        <f>Q67+R67</f>
        <v>1946608</v>
      </c>
    </row>
    <row r="68" spans="1:19" s="17" customFormat="1">
      <c r="A68" s="14" t="s">
        <v>13</v>
      </c>
      <c r="B68" s="15" t="s">
        <v>9</v>
      </c>
      <c r="C68" s="15" t="s">
        <v>10</v>
      </c>
      <c r="D68" s="15" t="s">
        <v>51</v>
      </c>
      <c r="E68" s="15" t="s">
        <v>14</v>
      </c>
      <c r="F68" s="15" t="s">
        <v>0</v>
      </c>
      <c r="G68" s="52">
        <f t="shared" ref="G68:S68" si="64">G69+G76</f>
        <v>11154676.75</v>
      </c>
      <c r="H68" s="52">
        <f t="shared" si="64"/>
        <v>0</v>
      </c>
      <c r="I68" s="52">
        <f t="shared" si="64"/>
        <v>11154676.75</v>
      </c>
      <c r="J68" s="52">
        <f t="shared" ref="J68:K68" si="65">J69+J76</f>
        <v>0</v>
      </c>
      <c r="K68" s="52">
        <f t="shared" si="65"/>
        <v>11154676.75</v>
      </c>
      <c r="L68" s="52">
        <f t="shared" si="64"/>
        <v>23712258.82</v>
      </c>
      <c r="M68" s="52">
        <f t="shared" si="64"/>
        <v>0</v>
      </c>
      <c r="N68" s="52">
        <f t="shared" si="64"/>
        <v>23712258.82</v>
      </c>
      <c r="O68" s="52">
        <f t="shared" ref="O68:P68" si="66">O69+O76</f>
        <v>0</v>
      </c>
      <c r="P68" s="52">
        <f t="shared" si="66"/>
        <v>23712258.82</v>
      </c>
      <c r="Q68" s="52">
        <f t="shared" si="64"/>
        <v>31542126.490000002</v>
      </c>
      <c r="R68" s="52">
        <f t="shared" si="64"/>
        <v>0</v>
      </c>
      <c r="S68" s="52">
        <f t="shared" si="64"/>
        <v>31542126.490000002</v>
      </c>
    </row>
    <row r="69" spans="1:19" s="17" customFormat="1">
      <c r="A69" s="14" t="s">
        <v>44</v>
      </c>
      <c r="B69" s="15" t="s">
        <v>9</v>
      </c>
      <c r="C69" s="15" t="s">
        <v>10</v>
      </c>
      <c r="D69" s="15" t="s">
        <v>51</v>
      </c>
      <c r="E69" s="15" t="s">
        <v>45</v>
      </c>
      <c r="F69" s="15" t="s">
        <v>0</v>
      </c>
      <c r="G69" s="52">
        <f t="shared" ref="G69:S69" si="67">G70+G72</f>
        <v>11154676.75</v>
      </c>
      <c r="H69" s="52">
        <f t="shared" si="67"/>
        <v>0</v>
      </c>
      <c r="I69" s="52">
        <f t="shared" si="67"/>
        <v>11154676.75</v>
      </c>
      <c r="J69" s="52">
        <f t="shared" ref="J69:K69" si="68">J70+J72</f>
        <v>0</v>
      </c>
      <c r="K69" s="52">
        <f t="shared" si="68"/>
        <v>11154676.75</v>
      </c>
      <c r="L69" s="52">
        <f t="shared" si="67"/>
        <v>10569199.33</v>
      </c>
      <c r="M69" s="52">
        <f t="shared" si="67"/>
        <v>0</v>
      </c>
      <c r="N69" s="52">
        <f t="shared" si="67"/>
        <v>10569199.33</v>
      </c>
      <c r="O69" s="52">
        <f t="shared" ref="O69:P69" si="69">O70+O72</f>
        <v>0</v>
      </c>
      <c r="P69" s="52">
        <f t="shared" si="69"/>
        <v>10569199.33</v>
      </c>
      <c r="Q69" s="52">
        <f t="shared" si="67"/>
        <v>4983796.24</v>
      </c>
      <c r="R69" s="52">
        <f t="shared" si="67"/>
        <v>0</v>
      </c>
      <c r="S69" s="52">
        <f t="shared" si="67"/>
        <v>4983796.24</v>
      </c>
    </row>
    <row r="70" spans="1:19" s="17" customFormat="1" ht="27">
      <c r="A70" s="18" t="s">
        <v>68</v>
      </c>
      <c r="B70" s="19" t="s">
        <v>9</v>
      </c>
      <c r="C70" s="19" t="s">
        <v>10</v>
      </c>
      <c r="D70" s="19" t="s">
        <v>51</v>
      </c>
      <c r="E70" s="19" t="s">
        <v>69</v>
      </c>
      <c r="F70" s="19" t="s">
        <v>0</v>
      </c>
      <c r="G70" s="33">
        <f t="shared" ref="G70:S70" si="70">G71</f>
        <v>7650000</v>
      </c>
      <c r="H70" s="33">
        <f t="shared" si="70"/>
        <v>0</v>
      </c>
      <c r="I70" s="33">
        <f t="shared" si="70"/>
        <v>7650000</v>
      </c>
      <c r="J70" s="33">
        <f t="shared" si="70"/>
        <v>0</v>
      </c>
      <c r="K70" s="33">
        <f t="shared" si="70"/>
        <v>7650000</v>
      </c>
      <c r="L70" s="33">
        <f t="shared" si="70"/>
        <v>6541958</v>
      </c>
      <c r="M70" s="33">
        <f t="shared" si="70"/>
        <v>0</v>
      </c>
      <c r="N70" s="33">
        <f t="shared" si="70"/>
        <v>6541958</v>
      </c>
      <c r="O70" s="33">
        <f t="shared" si="70"/>
        <v>0</v>
      </c>
      <c r="P70" s="33">
        <f t="shared" si="70"/>
        <v>6541958</v>
      </c>
      <c r="Q70" s="33">
        <f t="shared" si="70"/>
        <v>450000</v>
      </c>
      <c r="R70" s="33">
        <f t="shared" si="70"/>
        <v>0</v>
      </c>
      <c r="S70" s="33">
        <f t="shared" si="70"/>
        <v>450000</v>
      </c>
    </row>
    <row r="71" spans="1:19" s="17" customFormat="1">
      <c r="A71" s="21" t="s">
        <v>40</v>
      </c>
      <c r="B71" s="22" t="s">
        <v>9</v>
      </c>
      <c r="C71" s="22" t="s">
        <v>10</v>
      </c>
      <c r="D71" s="22" t="s">
        <v>51</v>
      </c>
      <c r="E71" s="22" t="s">
        <v>69</v>
      </c>
      <c r="F71" s="22" t="s">
        <v>41</v>
      </c>
      <c r="G71" s="46">
        <v>7650000</v>
      </c>
      <c r="H71" s="46">
        <v>0</v>
      </c>
      <c r="I71" s="46">
        <f>G71+H71</f>
        <v>7650000</v>
      </c>
      <c r="J71" s="46">
        <v>0</v>
      </c>
      <c r="K71" s="46">
        <f>I71+J71</f>
        <v>7650000</v>
      </c>
      <c r="L71" s="46">
        <v>6541958</v>
      </c>
      <c r="M71" s="46">
        <v>0</v>
      </c>
      <c r="N71" s="46">
        <f>L71+M71</f>
        <v>6541958</v>
      </c>
      <c r="O71" s="46">
        <v>0</v>
      </c>
      <c r="P71" s="46">
        <f>N71+O71</f>
        <v>6541958</v>
      </c>
      <c r="Q71" s="46">
        <v>450000</v>
      </c>
      <c r="R71" s="46">
        <v>0</v>
      </c>
      <c r="S71" s="46">
        <f>Q71+R71</f>
        <v>450000</v>
      </c>
    </row>
    <row r="72" spans="1:19" s="17" customFormat="1" ht="12.75" customHeight="1">
      <c r="A72" s="18" t="s">
        <v>70</v>
      </c>
      <c r="B72" s="19" t="s">
        <v>9</v>
      </c>
      <c r="C72" s="19" t="s">
        <v>10</v>
      </c>
      <c r="D72" s="19" t="s">
        <v>51</v>
      </c>
      <c r="E72" s="19" t="s">
        <v>71</v>
      </c>
      <c r="F72" s="19" t="s">
        <v>0</v>
      </c>
      <c r="G72" s="33">
        <f t="shared" ref="G72:S72" si="71">G73+G74+G75</f>
        <v>3504676.75</v>
      </c>
      <c r="H72" s="33">
        <f t="shared" si="71"/>
        <v>0</v>
      </c>
      <c r="I72" s="33">
        <f t="shared" si="71"/>
        <v>3504676.75</v>
      </c>
      <c r="J72" s="33">
        <f t="shared" ref="J72:K72" si="72">J73+J74+J75</f>
        <v>0</v>
      </c>
      <c r="K72" s="33">
        <f t="shared" si="72"/>
        <v>3504676.75</v>
      </c>
      <c r="L72" s="33">
        <f t="shared" si="71"/>
        <v>4027241.33</v>
      </c>
      <c r="M72" s="33">
        <f t="shared" si="71"/>
        <v>0</v>
      </c>
      <c r="N72" s="33">
        <f t="shared" si="71"/>
        <v>4027241.33</v>
      </c>
      <c r="O72" s="33">
        <f t="shared" ref="O72:P72" si="73">O73+O74+O75</f>
        <v>0</v>
      </c>
      <c r="P72" s="33">
        <f t="shared" si="73"/>
        <v>4027241.33</v>
      </c>
      <c r="Q72" s="33">
        <f t="shared" si="71"/>
        <v>4533796.24</v>
      </c>
      <c r="R72" s="33">
        <f t="shared" si="71"/>
        <v>0</v>
      </c>
      <c r="S72" s="33">
        <f t="shared" si="71"/>
        <v>4533796.24</v>
      </c>
    </row>
    <row r="73" spans="1:19" s="17" customFormat="1">
      <c r="A73" s="21" t="s">
        <v>21</v>
      </c>
      <c r="B73" s="22" t="s">
        <v>9</v>
      </c>
      <c r="C73" s="22" t="s">
        <v>10</v>
      </c>
      <c r="D73" s="22" t="s">
        <v>51</v>
      </c>
      <c r="E73" s="22" t="s">
        <v>71</v>
      </c>
      <c r="F73" s="22" t="s">
        <v>22</v>
      </c>
      <c r="G73" s="46">
        <v>2255730.19</v>
      </c>
      <c r="H73" s="46">
        <v>0</v>
      </c>
      <c r="I73" s="46">
        <f>G73+H73</f>
        <v>2255730.19</v>
      </c>
      <c r="J73" s="46">
        <v>0</v>
      </c>
      <c r="K73" s="46">
        <f>I73+J73</f>
        <v>2255730.19</v>
      </c>
      <c r="L73" s="46">
        <v>2769776.37</v>
      </c>
      <c r="M73" s="46">
        <v>0</v>
      </c>
      <c r="N73" s="46">
        <f>L73+M73</f>
        <v>2769776.37</v>
      </c>
      <c r="O73" s="46">
        <v>0</v>
      </c>
      <c r="P73" s="46">
        <f>N73+O73</f>
        <v>2769776.37</v>
      </c>
      <c r="Q73" s="46">
        <v>3267557.33</v>
      </c>
      <c r="R73" s="46">
        <v>0</v>
      </c>
      <c r="S73" s="46">
        <f>Q73+R73</f>
        <v>3267557.33</v>
      </c>
    </row>
    <row r="74" spans="1:19" s="17" customFormat="1">
      <c r="A74" s="21" t="s">
        <v>72</v>
      </c>
      <c r="B74" s="22" t="s">
        <v>9</v>
      </c>
      <c r="C74" s="22" t="s">
        <v>10</v>
      </c>
      <c r="D74" s="22" t="s">
        <v>51</v>
      </c>
      <c r="E74" s="22" t="s">
        <v>71</v>
      </c>
      <c r="F74" s="22" t="s">
        <v>73</v>
      </c>
      <c r="G74" s="46">
        <v>965000</v>
      </c>
      <c r="H74" s="46">
        <v>0</v>
      </c>
      <c r="I74" s="46">
        <f>G74+H74</f>
        <v>965000</v>
      </c>
      <c r="J74" s="46">
        <v>0</v>
      </c>
      <c r="K74" s="46">
        <f>I74+J74</f>
        <v>965000</v>
      </c>
      <c r="L74" s="46">
        <v>965000</v>
      </c>
      <c r="M74" s="46">
        <v>0</v>
      </c>
      <c r="N74" s="46">
        <f t="shared" ref="N74:N75" si="74">L74+M74</f>
        <v>965000</v>
      </c>
      <c r="O74" s="46">
        <v>0</v>
      </c>
      <c r="P74" s="46">
        <f t="shared" ref="P74:P75" si="75">N74+O74</f>
        <v>965000</v>
      </c>
      <c r="Q74" s="46">
        <v>965000</v>
      </c>
      <c r="R74" s="46">
        <v>0</v>
      </c>
      <c r="S74" s="46">
        <f t="shared" ref="S74:S75" si="76">Q74+R74</f>
        <v>965000</v>
      </c>
    </row>
    <row r="75" spans="1:19" s="17" customFormat="1">
      <c r="A75" s="21" t="s">
        <v>40</v>
      </c>
      <c r="B75" s="22" t="s">
        <v>9</v>
      </c>
      <c r="C75" s="22" t="s">
        <v>10</v>
      </c>
      <c r="D75" s="22" t="s">
        <v>51</v>
      </c>
      <c r="E75" s="22" t="s">
        <v>71</v>
      </c>
      <c r="F75" s="22" t="s">
        <v>41</v>
      </c>
      <c r="G75" s="46">
        <v>283946.56</v>
      </c>
      <c r="H75" s="46">
        <v>0</v>
      </c>
      <c r="I75" s="46">
        <f>G75+H75</f>
        <v>283946.56</v>
      </c>
      <c r="J75" s="46">
        <v>0</v>
      </c>
      <c r="K75" s="46">
        <f>I75+J75</f>
        <v>283946.56</v>
      </c>
      <c r="L75" s="46">
        <v>292464.96000000002</v>
      </c>
      <c r="M75" s="46">
        <v>0</v>
      </c>
      <c r="N75" s="46">
        <f t="shared" si="74"/>
        <v>292464.96000000002</v>
      </c>
      <c r="O75" s="46">
        <v>0</v>
      </c>
      <c r="P75" s="46">
        <f t="shared" si="75"/>
        <v>292464.96000000002</v>
      </c>
      <c r="Q75" s="46">
        <v>301238.90999999997</v>
      </c>
      <c r="R75" s="46">
        <v>0</v>
      </c>
      <c r="S75" s="46">
        <f t="shared" si="76"/>
        <v>301238.90999999997</v>
      </c>
    </row>
    <row r="76" spans="1:19" s="17" customFormat="1">
      <c r="A76" s="14" t="s">
        <v>74</v>
      </c>
      <c r="B76" s="15" t="s">
        <v>9</v>
      </c>
      <c r="C76" s="15" t="s">
        <v>10</v>
      </c>
      <c r="D76" s="15" t="s">
        <v>51</v>
      </c>
      <c r="E76" s="15" t="s">
        <v>75</v>
      </c>
      <c r="F76" s="15" t="s">
        <v>0</v>
      </c>
      <c r="G76" s="52">
        <f t="shared" ref="G76:S77" si="77">G77</f>
        <v>0</v>
      </c>
      <c r="H76" s="52">
        <f t="shared" si="77"/>
        <v>0</v>
      </c>
      <c r="I76" s="52">
        <f t="shared" si="77"/>
        <v>0</v>
      </c>
      <c r="J76" s="52">
        <f t="shared" si="77"/>
        <v>0</v>
      </c>
      <c r="K76" s="52">
        <f t="shared" si="77"/>
        <v>0</v>
      </c>
      <c r="L76" s="52">
        <f t="shared" si="77"/>
        <v>13143059.49</v>
      </c>
      <c r="M76" s="52">
        <f t="shared" si="77"/>
        <v>0</v>
      </c>
      <c r="N76" s="52">
        <f t="shared" si="77"/>
        <v>13143059.49</v>
      </c>
      <c r="O76" s="52">
        <f t="shared" si="77"/>
        <v>0</v>
      </c>
      <c r="P76" s="52">
        <f t="shared" si="77"/>
        <v>13143059.49</v>
      </c>
      <c r="Q76" s="52">
        <f t="shared" si="77"/>
        <v>26558330.25</v>
      </c>
      <c r="R76" s="52">
        <f t="shared" si="77"/>
        <v>0</v>
      </c>
      <c r="S76" s="52">
        <f t="shared" si="77"/>
        <v>26558330.25</v>
      </c>
    </row>
    <row r="77" spans="1:19" s="17" customFormat="1" ht="13.5">
      <c r="A77" s="42" t="s">
        <v>74</v>
      </c>
      <c r="B77" s="43" t="s">
        <v>9</v>
      </c>
      <c r="C77" s="43" t="s">
        <v>10</v>
      </c>
      <c r="D77" s="43" t="s">
        <v>51</v>
      </c>
      <c r="E77" s="43" t="s">
        <v>75</v>
      </c>
      <c r="F77" s="43" t="s">
        <v>0</v>
      </c>
      <c r="G77" s="33">
        <f t="shared" si="77"/>
        <v>0</v>
      </c>
      <c r="H77" s="33">
        <f t="shared" si="77"/>
        <v>0</v>
      </c>
      <c r="I77" s="33">
        <f t="shared" si="77"/>
        <v>0</v>
      </c>
      <c r="J77" s="33">
        <f t="shared" si="77"/>
        <v>0</v>
      </c>
      <c r="K77" s="33">
        <f t="shared" si="77"/>
        <v>0</v>
      </c>
      <c r="L77" s="33">
        <f t="shared" si="77"/>
        <v>13143059.49</v>
      </c>
      <c r="M77" s="33">
        <f t="shared" si="77"/>
        <v>0</v>
      </c>
      <c r="N77" s="33">
        <f t="shared" si="77"/>
        <v>13143059.49</v>
      </c>
      <c r="O77" s="33">
        <f t="shared" si="77"/>
        <v>0</v>
      </c>
      <c r="P77" s="33">
        <f t="shared" si="77"/>
        <v>13143059.49</v>
      </c>
      <c r="Q77" s="33">
        <f t="shared" si="77"/>
        <v>26558330.25</v>
      </c>
      <c r="R77" s="33">
        <f t="shared" si="77"/>
        <v>0</v>
      </c>
      <c r="S77" s="33">
        <f t="shared" si="77"/>
        <v>26558330.25</v>
      </c>
    </row>
    <row r="78" spans="1:19" s="17" customFormat="1">
      <c r="A78" s="47" t="s">
        <v>40</v>
      </c>
      <c r="B78" s="48" t="s">
        <v>9</v>
      </c>
      <c r="C78" s="48" t="s">
        <v>10</v>
      </c>
      <c r="D78" s="48" t="s">
        <v>51</v>
      </c>
      <c r="E78" s="48" t="s">
        <v>75</v>
      </c>
      <c r="F78" s="48" t="s">
        <v>41</v>
      </c>
      <c r="G78" s="46">
        <v>0</v>
      </c>
      <c r="H78" s="46">
        <v>0</v>
      </c>
      <c r="I78" s="46">
        <f>G78+H78</f>
        <v>0</v>
      </c>
      <c r="J78" s="46">
        <v>0</v>
      </c>
      <c r="K78" s="46">
        <f>I78+J78</f>
        <v>0</v>
      </c>
      <c r="L78" s="80">
        <f>13143059.49</f>
        <v>13143059.49</v>
      </c>
      <c r="M78" s="80">
        <v>0</v>
      </c>
      <c r="N78" s="80">
        <f>L78+M78</f>
        <v>13143059.49</v>
      </c>
      <c r="O78" s="80">
        <v>0</v>
      </c>
      <c r="P78" s="80">
        <f>N78+O78</f>
        <v>13143059.49</v>
      </c>
      <c r="Q78" s="80">
        <f>26558330.25</f>
        <v>26558330.25</v>
      </c>
      <c r="R78" s="80">
        <v>0</v>
      </c>
      <c r="S78" s="80">
        <f>Q78+R78</f>
        <v>26558330.25</v>
      </c>
    </row>
    <row r="79" spans="1:19" s="17" customFormat="1" ht="25.5">
      <c r="A79" s="14" t="s">
        <v>221</v>
      </c>
      <c r="B79" s="15" t="s">
        <v>9</v>
      </c>
      <c r="C79" s="15" t="s">
        <v>12</v>
      </c>
      <c r="D79" s="15" t="s">
        <v>0</v>
      </c>
      <c r="E79" s="15" t="s">
        <v>0</v>
      </c>
      <c r="F79" s="15" t="s">
        <v>0</v>
      </c>
      <c r="G79" s="52">
        <f t="shared" ref="G79:S79" si="78">G80</f>
        <v>4625950.34</v>
      </c>
      <c r="H79" s="52">
        <f t="shared" si="78"/>
        <v>1997849</v>
      </c>
      <c r="I79" s="52">
        <f t="shared" si="78"/>
        <v>6623799.3399999999</v>
      </c>
      <c r="J79" s="52">
        <f t="shared" si="78"/>
        <v>-9103.41</v>
      </c>
      <c r="K79" s="52">
        <f t="shared" si="78"/>
        <v>6614695.9299999997</v>
      </c>
      <c r="L79" s="52">
        <f t="shared" si="78"/>
        <v>4731025.83</v>
      </c>
      <c r="M79" s="52">
        <f t="shared" si="78"/>
        <v>0</v>
      </c>
      <c r="N79" s="52">
        <f t="shared" si="78"/>
        <v>4731025.83</v>
      </c>
      <c r="O79" s="52">
        <f t="shared" si="78"/>
        <v>0</v>
      </c>
      <c r="P79" s="52">
        <f t="shared" si="78"/>
        <v>4731025.83</v>
      </c>
      <c r="Q79" s="52">
        <f t="shared" si="78"/>
        <v>4734099.0200000005</v>
      </c>
      <c r="R79" s="52">
        <f t="shared" si="78"/>
        <v>0</v>
      </c>
      <c r="S79" s="52">
        <f t="shared" si="78"/>
        <v>4734099.0200000005</v>
      </c>
    </row>
    <row r="80" spans="1:19" s="17" customFormat="1" ht="25.5">
      <c r="A80" s="14" t="s">
        <v>76</v>
      </c>
      <c r="B80" s="15" t="s">
        <v>9</v>
      </c>
      <c r="C80" s="15" t="s">
        <v>12</v>
      </c>
      <c r="D80" s="15" t="s">
        <v>77</v>
      </c>
      <c r="E80" s="15" t="s">
        <v>0</v>
      </c>
      <c r="F80" s="15" t="s">
        <v>0</v>
      </c>
      <c r="G80" s="52">
        <f t="shared" ref="G80:S80" si="79">G93+G98+G81</f>
        <v>4625950.34</v>
      </c>
      <c r="H80" s="52">
        <f t="shared" si="79"/>
        <v>1997849</v>
      </c>
      <c r="I80" s="52">
        <f t="shared" si="79"/>
        <v>6623799.3399999999</v>
      </c>
      <c r="J80" s="52">
        <f t="shared" ref="J80:K80" si="80">J93+J98+J81</f>
        <v>-9103.41</v>
      </c>
      <c r="K80" s="52">
        <f t="shared" si="80"/>
        <v>6614695.9299999997</v>
      </c>
      <c r="L80" s="52">
        <f t="shared" si="79"/>
        <v>4731025.83</v>
      </c>
      <c r="M80" s="52">
        <f t="shared" si="79"/>
        <v>0</v>
      </c>
      <c r="N80" s="52">
        <f t="shared" si="79"/>
        <v>4731025.83</v>
      </c>
      <c r="O80" s="52">
        <f t="shared" ref="O80:P80" si="81">O93+O98+O81</f>
        <v>0</v>
      </c>
      <c r="P80" s="52">
        <f t="shared" si="81"/>
        <v>4731025.83</v>
      </c>
      <c r="Q80" s="52">
        <f t="shared" si="79"/>
        <v>4734099.0200000005</v>
      </c>
      <c r="R80" s="52">
        <f t="shared" si="79"/>
        <v>0</v>
      </c>
      <c r="S80" s="52">
        <f t="shared" si="79"/>
        <v>4734099.0200000005</v>
      </c>
    </row>
    <row r="81" spans="1:19" s="17" customFormat="1">
      <c r="A81" s="63" t="s">
        <v>261</v>
      </c>
      <c r="B81" s="64" t="s">
        <v>9</v>
      </c>
      <c r="C81" s="64" t="s">
        <v>12</v>
      </c>
      <c r="D81" s="64" t="s">
        <v>77</v>
      </c>
      <c r="E81" s="64" t="s">
        <v>262</v>
      </c>
      <c r="F81" s="65"/>
      <c r="G81" s="52">
        <f t="shared" ref="G81:S81" si="82">G82+G86+G90</f>
        <v>1878723.69</v>
      </c>
      <c r="H81" s="52">
        <f t="shared" si="82"/>
        <v>81341.95</v>
      </c>
      <c r="I81" s="52">
        <f t="shared" si="82"/>
        <v>1960065.64</v>
      </c>
      <c r="J81" s="52">
        <f t="shared" ref="J81:K81" si="83">J82+J86+J90</f>
        <v>0</v>
      </c>
      <c r="K81" s="52">
        <f t="shared" si="83"/>
        <v>1960065.64</v>
      </c>
      <c r="L81" s="52">
        <f t="shared" si="82"/>
        <v>1901382.2</v>
      </c>
      <c r="M81" s="52">
        <f t="shared" si="82"/>
        <v>0</v>
      </c>
      <c r="N81" s="52">
        <f t="shared" si="82"/>
        <v>1901382.2</v>
      </c>
      <c r="O81" s="52">
        <f t="shared" ref="O81:P81" si="84">O82+O86+O90</f>
        <v>0</v>
      </c>
      <c r="P81" s="52">
        <f t="shared" si="84"/>
        <v>1901382.2</v>
      </c>
      <c r="Q81" s="52">
        <f t="shared" si="82"/>
        <v>1901382.2</v>
      </c>
      <c r="R81" s="52">
        <f t="shared" si="82"/>
        <v>0</v>
      </c>
      <c r="S81" s="52">
        <f t="shared" si="82"/>
        <v>1901382.2</v>
      </c>
    </row>
    <row r="82" spans="1:19" s="17" customFormat="1">
      <c r="A82" s="63" t="s">
        <v>263</v>
      </c>
      <c r="B82" s="64" t="s">
        <v>9</v>
      </c>
      <c r="C82" s="64" t="s">
        <v>12</v>
      </c>
      <c r="D82" s="64" t="s">
        <v>77</v>
      </c>
      <c r="E82" s="64" t="s">
        <v>264</v>
      </c>
      <c r="F82" s="65"/>
      <c r="G82" s="52">
        <f t="shared" ref="G82:S82" si="85">G83</f>
        <v>809192.84</v>
      </c>
      <c r="H82" s="52">
        <f t="shared" si="85"/>
        <v>35304</v>
      </c>
      <c r="I82" s="52">
        <f t="shared" si="85"/>
        <v>844496.84</v>
      </c>
      <c r="J82" s="52">
        <f t="shared" si="85"/>
        <v>0</v>
      </c>
      <c r="K82" s="52">
        <f t="shared" si="85"/>
        <v>844496.84</v>
      </c>
      <c r="L82" s="52">
        <f t="shared" si="85"/>
        <v>829479.2</v>
      </c>
      <c r="M82" s="52">
        <f t="shared" si="85"/>
        <v>0</v>
      </c>
      <c r="N82" s="52">
        <f t="shared" si="85"/>
        <v>829479.2</v>
      </c>
      <c r="O82" s="52">
        <f t="shared" si="85"/>
        <v>0</v>
      </c>
      <c r="P82" s="52">
        <f t="shared" si="85"/>
        <v>829479.2</v>
      </c>
      <c r="Q82" s="52">
        <f t="shared" si="85"/>
        <v>829479.2</v>
      </c>
      <c r="R82" s="52">
        <f t="shared" si="85"/>
        <v>0</v>
      </c>
      <c r="S82" s="52">
        <f t="shared" si="85"/>
        <v>829479.2</v>
      </c>
    </row>
    <row r="83" spans="1:19" s="17" customFormat="1" ht="27">
      <c r="A83" s="66" t="s">
        <v>265</v>
      </c>
      <c r="B83" s="67" t="s">
        <v>9</v>
      </c>
      <c r="C83" s="67" t="s">
        <v>12</v>
      </c>
      <c r="D83" s="67" t="s">
        <v>77</v>
      </c>
      <c r="E83" s="67" t="s">
        <v>266</v>
      </c>
      <c r="F83" s="64"/>
      <c r="G83" s="52">
        <f t="shared" ref="G83:S83" si="86">G84+G85</f>
        <v>809192.84</v>
      </c>
      <c r="H83" s="52">
        <f t="shared" si="86"/>
        <v>35304</v>
      </c>
      <c r="I83" s="52">
        <f t="shared" si="86"/>
        <v>844496.84</v>
      </c>
      <c r="J83" s="52">
        <f t="shared" ref="J83:K83" si="87">J84+J85</f>
        <v>0</v>
      </c>
      <c r="K83" s="52">
        <f t="shared" si="87"/>
        <v>844496.84</v>
      </c>
      <c r="L83" s="52">
        <f t="shared" si="86"/>
        <v>829479.2</v>
      </c>
      <c r="M83" s="52">
        <f t="shared" si="86"/>
        <v>0</v>
      </c>
      <c r="N83" s="52">
        <f t="shared" si="86"/>
        <v>829479.2</v>
      </c>
      <c r="O83" s="52">
        <f t="shared" ref="O83:P83" si="88">O84+O85</f>
        <v>0</v>
      </c>
      <c r="P83" s="52">
        <f t="shared" si="88"/>
        <v>829479.2</v>
      </c>
      <c r="Q83" s="52">
        <f t="shared" si="86"/>
        <v>829479.2</v>
      </c>
      <c r="R83" s="52">
        <f t="shared" si="86"/>
        <v>0</v>
      </c>
      <c r="S83" s="52">
        <f t="shared" si="86"/>
        <v>829479.2</v>
      </c>
    </row>
    <row r="84" spans="1:19" s="17" customFormat="1" ht="13.5">
      <c r="A84" s="68" t="s">
        <v>21</v>
      </c>
      <c r="B84" s="67" t="s">
        <v>9</v>
      </c>
      <c r="C84" s="67" t="s">
        <v>12</v>
      </c>
      <c r="D84" s="67" t="s">
        <v>77</v>
      </c>
      <c r="E84" s="69" t="s">
        <v>266</v>
      </c>
      <c r="F84" s="65">
        <v>200</v>
      </c>
      <c r="G84" s="75">
        <v>669192.84</v>
      </c>
      <c r="H84" s="75">
        <f>4800+30504</f>
        <v>35304</v>
      </c>
      <c r="I84" s="75">
        <f>G84+H84</f>
        <v>704496.84</v>
      </c>
      <c r="J84" s="75">
        <v>0</v>
      </c>
      <c r="K84" s="75">
        <f>I84+J84</f>
        <v>704496.84</v>
      </c>
      <c r="L84" s="75">
        <v>689479.2</v>
      </c>
      <c r="M84" s="75">
        <v>0</v>
      </c>
      <c r="N84" s="75">
        <f>L84+M84</f>
        <v>689479.2</v>
      </c>
      <c r="O84" s="75">
        <v>0</v>
      </c>
      <c r="P84" s="75">
        <f>N84+O84</f>
        <v>689479.2</v>
      </c>
      <c r="Q84" s="75">
        <v>689479.2</v>
      </c>
      <c r="R84" s="75">
        <v>0</v>
      </c>
      <c r="S84" s="75">
        <f>Q84+R84</f>
        <v>689479.2</v>
      </c>
    </row>
    <row r="85" spans="1:19" s="17" customFormat="1" ht="15" customHeight="1">
      <c r="A85" s="68" t="s">
        <v>267</v>
      </c>
      <c r="B85" s="67" t="s">
        <v>9</v>
      </c>
      <c r="C85" s="67" t="s">
        <v>12</v>
      </c>
      <c r="D85" s="67" t="s">
        <v>77</v>
      </c>
      <c r="E85" s="69" t="s">
        <v>266</v>
      </c>
      <c r="F85" s="65">
        <v>300</v>
      </c>
      <c r="G85" s="75">
        <v>140000</v>
      </c>
      <c r="H85" s="75">
        <v>0</v>
      </c>
      <c r="I85" s="75">
        <f>G85+H85</f>
        <v>140000</v>
      </c>
      <c r="J85" s="75">
        <v>0</v>
      </c>
      <c r="K85" s="75">
        <f>I85+J85</f>
        <v>140000</v>
      </c>
      <c r="L85" s="75">
        <v>140000</v>
      </c>
      <c r="M85" s="75">
        <v>0</v>
      </c>
      <c r="N85" s="75">
        <f>L85+M85</f>
        <v>140000</v>
      </c>
      <c r="O85" s="75">
        <v>0</v>
      </c>
      <c r="P85" s="75">
        <f>N85+O85</f>
        <v>140000</v>
      </c>
      <c r="Q85" s="75">
        <v>140000</v>
      </c>
      <c r="R85" s="75">
        <v>0</v>
      </c>
      <c r="S85" s="75">
        <f>Q85+R85</f>
        <v>140000</v>
      </c>
    </row>
    <row r="86" spans="1:19" s="17" customFormat="1" ht="13.5">
      <c r="A86" s="66" t="s">
        <v>268</v>
      </c>
      <c r="B86" s="64" t="s">
        <v>9</v>
      </c>
      <c r="C86" s="64" t="s">
        <v>12</v>
      </c>
      <c r="D86" s="64" t="s">
        <v>77</v>
      </c>
      <c r="E86" s="64" t="s">
        <v>269</v>
      </c>
      <c r="F86" s="65"/>
      <c r="G86" s="52">
        <f t="shared" ref="G86:S86" si="89">G87</f>
        <v>374530.85</v>
      </c>
      <c r="H86" s="52">
        <f t="shared" si="89"/>
        <v>0</v>
      </c>
      <c r="I86" s="52">
        <f t="shared" si="89"/>
        <v>374530.85</v>
      </c>
      <c r="J86" s="52">
        <f t="shared" si="89"/>
        <v>0</v>
      </c>
      <c r="K86" s="52">
        <f t="shared" si="89"/>
        <v>374530.85</v>
      </c>
      <c r="L86" s="52">
        <f t="shared" si="89"/>
        <v>376903</v>
      </c>
      <c r="M86" s="52">
        <f t="shared" si="89"/>
        <v>0</v>
      </c>
      <c r="N86" s="52">
        <f t="shared" si="89"/>
        <v>376903</v>
      </c>
      <c r="O86" s="52">
        <f t="shared" si="89"/>
        <v>0</v>
      </c>
      <c r="P86" s="52">
        <f t="shared" si="89"/>
        <v>376903</v>
      </c>
      <c r="Q86" s="52">
        <f t="shared" si="89"/>
        <v>376903</v>
      </c>
      <c r="R86" s="52">
        <f t="shared" si="89"/>
        <v>0</v>
      </c>
      <c r="S86" s="52">
        <f t="shared" si="89"/>
        <v>376903</v>
      </c>
    </row>
    <row r="87" spans="1:19" s="17" customFormat="1" ht="27">
      <c r="A87" s="66" t="s">
        <v>270</v>
      </c>
      <c r="B87" s="67" t="s">
        <v>9</v>
      </c>
      <c r="C87" s="67" t="s">
        <v>12</v>
      </c>
      <c r="D87" s="67" t="s">
        <v>77</v>
      </c>
      <c r="E87" s="67" t="s">
        <v>271</v>
      </c>
      <c r="F87" s="67"/>
      <c r="G87" s="33">
        <f t="shared" ref="G87:S87" si="90">G88+G89</f>
        <v>374530.85</v>
      </c>
      <c r="H87" s="33">
        <f t="shared" si="90"/>
        <v>0</v>
      </c>
      <c r="I87" s="33">
        <f t="shared" si="90"/>
        <v>374530.85</v>
      </c>
      <c r="J87" s="33">
        <f t="shared" ref="J87:K87" si="91">J88+J89</f>
        <v>0</v>
      </c>
      <c r="K87" s="33">
        <f t="shared" si="91"/>
        <v>374530.85</v>
      </c>
      <c r="L87" s="33">
        <f t="shared" si="90"/>
        <v>376903</v>
      </c>
      <c r="M87" s="33">
        <f t="shared" si="90"/>
        <v>0</v>
      </c>
      <c r="N87" s="33">
        <f t="shared" si="90"/>
        <v>376903</v>
      </c>
      <c r="O87" s="33">
        <f t="shared" ref="O87:P87" si="92">O88+O89</f>
        <v>0</v>
      </c>
      <c r="P87" s="33">
        <f t="shared" si="92"/>
        <v>376903</v>
      </c>
      <c r="Q87" s="33">
        <f t="shared" si="90"/>
        <v>376903</v>
      </c>
      <c r="R87" s="33">
        <f t="shared" si="90"/>
        <v>0</v>
      </c>
      <c r="S87" s="33">
        <f t="shared" si="90"/>
        <v>376903</v>
      </c>
    </row>
    <row r="88" spans="1:19" s="17" customFormat="1">
      <c r="A88" s="68" t="s">
        <v>21</v>
      </c>
      <c r="B88" s="65">
        <v>801</v>
      </c>
      <c r="C88" s="69" t="s">
        <v>12</v>
      </c>
      <c r="D88" s="69" t="s">
        <v>77</v>
      </c>
      <c r="E88" s="69" t="s">
        <v>271</v>
      </c>
      <c r="F88" s="65">
        <v>200</v>
      </c>
      <c r="G88" s="75">
        <v>274880.84999999998</v>
      </c>
      <c r="H88" s="75">
        <v>0</v>
      </c>
      <c r="I88" s="75">
        <f>G88+H88</f>
        <v>274880.84999999998</v>
      </c>
      <c r="J88" s="75">
        <v>0</v>
      </c>
      <c r="K88" s="75">
        <f>I88+J88</f>
        <v>274880.84999999998</v>
      </c>
      <c r="L88" s="75">
        <v>273665.59999999998</v>
      </c>
      <c r="M88" s="75">
        <v>0</v>
      </c>
      <c r="N88" s="75">
        <f>L88+M88</f>
        <v>273665.59999999998</v>
      </c>
      <c r="O88" s="75">
        <v>0</v>
      </c>
      <c r="P88" s="75">
        <f>N88+O88</f>
        <v>273665.59999999998</v>
      </c>
      <c r="Q88" s="75">
        <v>273665.59999999998</v>
      </c>
      <c r="R88" s="75">
        <v>0</v>
      </c>
      <c r="S88" s="75">
        <f>Q88+R88</f>
        <v>273665.59999999998</v>
      </c>
    </row>
    <row r="89" spans="1:19" s="17" customFormat="1" ht="15" customHeight="1">
      <c r="A89" s="68" t="s">
        <v>267</v>
      </c>
      <c r="B89" s="65">
        <v>801</v>
      </c>
      <c r="C89" s="69" t="s">
        <v>12</v>
      </c>
      <c r="D89" s="69" t="s">
        <v>77</v>
      </c>
      <c r="E89" s="69" t="s">
        <v>271</v>
      </c>
      <c r="F89" s="65">
        <v>300</v>
      </c>
      <c r="G89" s="75">
        <v>99650</v>
      </c>
      <c r="H89" s="75">
        <v>0</v>
      </c>
      <c r="I89" s="75">
        <f>G89+H89</f>
        <v>99650</v>
      </c>
      <c r="J89" s="75">
        <v>0</v>
      </c>
      <c r="K89" s="75">
        <f>I89+J89</f>
        <v>99650</v>
      </c>
      <c r="L89" s="75">
        <v>103237.4</v>
      </c>
      <c r="M89" s="75">
        <v>0</v>
      </c>
      <c r="N89" s="75">
        <f>L89+M89</f>
        <v>103237.4</v>
      </c>
      <c r="O89" s="75">
        <v>0</v>
      </c>
      <c r="P89" s="75">
        <f>N89+O89</f>
        <v>103237.4</v>
      </c>
      <c r="Q89" s="75">
        <v>103237.4</v>
      </c>
      <c r="R89" s="75">
        <v>0</v>
      </c>
      <c r="S89" s="75">
        <f>Q89+R89</f>
        <v>103237.4</v>
      </c>
    </row>
    <row r="90" spans="1:19" s="17" customFormat="1" ht="15" customHeight="1">
      <c r="A90" s="70" t="s">
        <v>279</v>
      </c>
      <c r="B90" s="64" t="s">
        <v>9</v>
      </c>
      <c r="C90" s="64" t="s">
        <v>12</v>
      </c>
      <c r="D90" s="64" t="s">
        <v>77</v>
      </c>
      <c r="E90" s="64" t="s">
        <v>277</v>
      </c>
      <c r="F90" s="65"/>
      <c r="G90" s="52">
        <f t="shared" ref="G90:S91" si="93">G91</f>
        <v>695000</v>
      </c>
      <c r="H90" s="52">
        <f t="shared" si="93"/>
        <v>46037.95</v>
      </c>
      <c r="I90" s="52">
        <f t="shared" si="93"/>
        <v>741037.95</v>
      </c>
      <c r="J90" s="52">
        <f t="shared" si="93"/>
        <v>0</v>
      </c>
      <c r="K90" s="52">
        <f t="shared" si="93"/>
        <v>741037.95</v>
      </c>
      <c r="L90" s="52">
        <f t="shared" si="93"/>
        <v>695000</v>
      </c>
      <c r="M90" s="52">
        <f t="shared" si="93"/>
        <v>0</v>
      </c>
      <c r="N90" s="52">
        <f t="shared" si="93"/>
        <v>695000</v>
      </c>
      <c r="O90" s="52">
        <f t="shared" si="93"/>
        <v>0</v>
      </c>
      <c r="P90" s="52">
        <f t="shared" si="93"/>
        <v>695000</v>
      </c>
      <c r="Q90" s="52">
        <f t="shared" si="93"/>
        <v>695000</v>
      </c>
      <c r="R90" s="52">
        <f t="shared" si="93"/>
        <v>0</v>
      </c>
      <c r="S90" s="52">
        <f t="shared" si="93"/>
        <v>695000</v>
      </c>
    </row>
    <row r="91" spans="1:19" s="17" customFormat="1" ht="15" customHeight="1">
      <c r="A91" s="66" t="s">
        <v>280</v>
      </c>
      <c r="B91" s="67" t="s">
        <v>9</v>
      </c>
      <c r="C91" s="67" t="s">
        <v>12</v>
      </c>
      <c r="D91" s="67" t="s">
        <v>77</v>
      </c>
      <c r="E91" s="67" t="s">
        <v>278</v>
      </c>
      <c r="F91" s="67"/>
      <c r="G91" s="33">
        <f t="shared" si="93"/>
        <v>695000</v>
      </c>
      <c r="H91" s="33">
        <f t="shared" si="93"/>
        <v>46037.95</v>
      </c>
      <c r="I91" s="33">
        <f t="shared" si="93"/>
        <v>741037.95</v>
      </c>
      <c r="J91" s="33">
        <f t="shared" si="93"/>
        <v>0</v>
      </c>
      <c r="K91" s="33">
        <f t="shared" si="93"/>
        <v>741037.95</v>
      </c>
      <c r="L91" s="33">
        <f t="shared" si="93"/>
        <v>695000</v>
      </c>
      <c r="M91" s="33">
        <f t="shared" si="93"/>
        <v>0</v>
      </c>
      <c r="N91" s="33">
        <f t="shared" si="93"/>
        <v>695000</v>
      </c>
      <c r="O91" s="33">
        <f t="shared" si="93"/>
        <v>0</v>
      </c>
      <c r="P91" s="33">
        <f t="shared" si="93"/>
        <v>695000</v>
      </c>
      <c r="Q91" s="33">
        <f t="shared" si="93"/>
        <v>695000</v>
      </c>
      <c r="R91" s="33">
        <f t="shared" si="93"/>
        <v>0</v>
      </c>
      <c r="S91" s="33">
        <f t="shared" si="93"/>
        <v>695000</v>
      </c>
    </row>
    <row r="92" spans="1:19" s="17" customFormat="1" ht="15" customHeight="1">
      <c r="A92" s="21" t="s">
        <v>21</v>
      </c>
      <c r="B92" s="65">
        <v>801</v>
      </c>
      <c r="C92" s="65" t="s">
        <v>12</v>
      </c>
      <c r="D92" s="65" t="s">
        <v>77</v>
      </c>
      <c r="E92" s="65" t="s">
        <v>278</v>
      </c>
      <c r="F92" s="65">
        <v>200</v>
      </c>
      <c r="G92" s="75">
        <f>660000+35000</f>
        <v>695000</v>
      </c>
      <c r="H92" s="75">
        <v>46037.95</v>
      </c>
      <c r="I92" s="75">
        <f>G92+H92</f>
        <v>741037.95</v>
      </c>
      <c r="J92" s="75">
        <v>0</v>
      </c>
      <c r="K92" s="75">
        <f>I92+J92</f>
        <v>741037.95</v>
      </c>
      <c r="L92" s="75">
        <f>660000+35000</f>
        <v>695000</v>
      </c>
      <c r="M92" s="75">
        <v>0</v>
      </c>
      <c r="N92" s="75">
        <f>L92+M92</f>
        <v>695000</v>
      </c>
      <c r="O92" s="75">
        <v>0</v>
      </c>
      <c r="P92" s="75">
        <f>N92+O92</f>
        <v>695000</v>
      </c>
      <c r="Q92" s="75">
        <f>660000+35000</f>
        <v>695000</v>
      </c>
      <c r="R92" s="75">
        <v>0</v>
      </c>
      <c r="S92" s="75">
        <f>Q92+R92</f>
        <v>695000</v>
      </c>
    </row>
    <row r="93" spans="1:19" s="17" customFormat="1" ht="25.5">
      <c r="A93" s="14" t="s">
        <v>78</v>
      </c>
      <c r="B93" s="15" t="s">
        <v>9</v>
      </c>
      <c r="C93" s="40" t="s">
        <v>12</v>
      </c>
      <c r="D93" s="40" t="s">
        <v>77</v>
      </c>
      <c r="E93" s="15" t="s">
        <v>79</v>
      </c>
      <c r="F93" s="15" t="s">
        <v>0</v>
      </c>
      <c r="G93" s="52">
        <f t="shared" ref="G93:S94" si="94">G94</f>
        <v>2647770.65</v>
      </c>
      <c r="H93" s="52">
        <f t="shared" si="94"/>
        <v>1916507.05</v>
      </c>
      <c r="I93" s="52">
        <f t="shared" si="94"/>
        <v>4564277.7</v>
      </c>
      <c r="J93" s="52">
        <f t="shared" si="94"/>
        <v>-9103.41</v>
      </c>
      <c r="K93" s="52">
        <f t="shared" si="94"/>
        <v>4555174.29</v>
      </c>
      <c r="L93" s="52">
        <f t="shared" si="94"/>
        <v>2727203.95</v>
      </c>
      <c r="M93" s="52">
        <f t="shared" si="94"/>
        <v>0</v>
      </c>
      <c r="N93" s="52">
        <f t="shared" si="94"/>
        <v>2727203.95</v>
      </c>
      <c r="O93" s="52">
        <f t="shared" si="94"/>
        <v>0</v>
      </c>
      <c r="P93" s="52">
        <f t="shared" si="94"/>
        <v>2727203.95</v>
      </c>
      <c r="Q93" s="52">
        <f t="shared" si="94"/>
        <v>2727203.95</v>
      </c>
      <c r="R93" s="52">
        <f t="shared" si="94"/>
        <v>0</v>
      </c>
      <c r="S93" s="52">
        <f t="shared" si="94"/>
        <v>2727203.95</v>
      </c>
    </row>
    <row r="94" spans="1:19" s="17" customFormat="1" ht="25.5">
      <c r="A94" s="14" t="s">
        <v>80</v>
      </c>
      <c r="B94" s="15" t="s">
        <v>9</v>
      </c>
      <c r="C94" s="15" t="s">
        <v>12</v>
      </c>
      <c r="D94" s="15" t="s">
        <v>77</v>
      </c>
      <c r="E94" s="15" t="s">
        <v>81</v>
      </c>
      <c r="F94" s="15" t="s">
        <v>0</v>
      </c>
      <c r="G94" s="52">
        <f t="shared" si="94"/>
        <v>2647770.65</v>
      </c>
      <c r="H94" s="52">
        <f t="shared" si="94"/>
        <v>1916507.05</v>
      </c>
      <c r="I94" s="52">
        <f t="shared" si="94"/>
        <v>4564277.7</v>
      </c>
      <c r="J94" s="52">
        <f t="shared" si="94"/>
        <v>-9103.41</v>
      </c>
      <c r="K94" s="52">
        <f t="shared" si="94"/>
        <v>4555174.29</v>
      </c>
      <c r="L94" s="52">
        <f t="shared" si="94"/>
        <v>2727203.95</v>
      </c>
      <c r="M94" s="52">
        <f t="shared" si="94"/>
        <v>0</v>
      </c>
      <c r="N94" s="52">
        <f t="shared" si="94"/>
        <v>2727203.95</v>
      </c>
      <c r="O94" s="52">
        <f t="shared" si="94"/>
        <v>0</v>
      </c>
      <c r="P94" s="52">
        <f t="shared" si="94"/>
        <v>2727203.95</v>
      </c>
      <c r="Q94" s="52">
        <f t="shared" si="94"/>
        <v>2727203.95</v>
      </c>
      <c r="R94" s="52">
        <f t="shared" si="94"/>
        <v>0</v>
      </c>
      <c r="S94" s="52">
        <f t="shared" si="94"/>
        <v>2727203.95</v>
      </c>
    </row>
    <row r="95" spans="1:19" s="17" customFormat="1" ht="27">
      <c r="A95" s="18" t="s">
        <v>82</v>
      </c>
      <c r="B95" s="19" t="s">
        <v>9</v>
      </c>
      <c r="C95" s="19" t="s">
        <v>12</v>
      </c>
      <c r="D95" s="19" t="s">
        <v>77</v>
      </c>
      <c r="E95" s="19" t="s">
        <v>83</v>
      </c>
      <c r="F95" s="19" t="s">
        <v>0</v>
      </c>
      <c r="G95" s="33">
        <f t="shared" ref="G95:S95" si="95">G96+G97</f>
        <v>2647770.65</v>
      </c>
      <c r="H95" s="33">
        <f t="shared" si="95"/>
        <v>1916507.05</v>
      </c>
      <c r="I95" s="33">
        <f t="shared" si="95"/>
        <v>4564277.7</v>
      </c>
      <c r="J95" s="33">
        <f t="shared" ref="J95:K95" si="96">J96+J97</f>
        <v>-9103.41</v>
      </c>
      <c r="K95" s="33">
        <f t="shared" si="96"/>
        <v>4555174.29</v>
      </c>
      <c r="L95" s="33">
        <f t="shared" si="95"/>
        <v>2727203.95</v>
      </c>
      <c r="M95" s="33">
        <f t="shared" si="95"/>
        <v>0</v>
      </c>
      <c r="N95" s="33">
        <f t="shared" si="95"/>
        <v>2727203.95</v>
      </c>
      <c r="O95" s="33">
        <f t="shared" ref="O95:P95" si="97">O96+O97</f>
        <v>0</v>
      </c>
      <c r="P95" s="33">
        <f t="shared" si="97"/>
        <v>2727203.95</v>
      </c>
      <c r="Q95" s="33">
        <f t="shared" si="95"/>
        <v>2727203.95</v>
      </c>
      <c r="R95" s="33">
        <f t="shared" si="95"/>
        <v>0</v>
      </c>
      <c r="S95" s="33">
        <f t="shared" si="95"/>
        <v>2727203.95</v>
      </c>
    </row>
    <row r="96" spans="1:19" s="17" customFormat="1">
      <c r="A96" s="21" t="s">
        <v>21</v>
      </c>
      <c r="B96" s="22" t="s">
        <v>9</v>
      </c>
      <c r="C96" s="22" t="s">
        <v>12</v>
      </c>
      <c r="D96" s="22" t="s">
        <v>77</v>
      </c>
      <c r="E96" s="22" t="s">
        <v>83</v>
      </c>
      <c r="F96" s="22" t="s">
        <v>22</v>
      </c>
      <c r="G96" s="46">
        <v>2411231.65</v>
      </c>
      <c r="H96" s="46">
        <f>1820681.7+95825.35</f>
        <v>1916507.05</v>
      </c>
      <c r="I96" s="46">
        <f>G96+H96</f>
        <v>4327738.7</v>
      </c>
      <c r="J96" s="46">
        <v>-9103.41</v>
      </c>
      <c r="K96" s="46">
        <f>I96+J96</f>
        <v>4318635.29</v>
      </c>
      <c r="L96" s="46">
        <v>2395908.9500000002</v>
      </c>
      <c r="M96" s="46">
        <v>0</v>
      </c>
      <c r="N96" s="46">
        <f>L96+M96</f>
        <v>2395908.9500000002</v>
      </c>
      <c r="O96" s="46">
        <v>0</v>
      </c>
      <c r="P96" s="46">
        <f>N96+O96</f>
        <v>2395908.9500000002</v>
      </c>
      <c r="Q96" s="46">
        <v>2395908.9500000002</v>
      </c>
      <c r="R96" s="46">
        <v>0</v>
      </c>
      <c r="S96" s="46">
        <f>Q96+R96</f>
        <v>2395908.9500000002</v>
      </c>
    </row>
    <row r="97" spans="1:19" s="17" customFormat="1">
      <c r="A97" s="21" t="s">
        <v>72</v>
      </c>
      <c r="B97" s="22" t="s">
        <v>9</v>
      </c>
      <c r="C97" s="22" t="s">
        <v>12</v>
      </c>
      <c r="D97" s="22" t="s">
        <v>77</v>
      </c>
      <c r="E97" s="22" t="s">
        <v>83</v>
      </c>
      <c r="F97" s="22">
        <v>300</v>
      </c>
      <c r="G97" s="46">
        <v>236539</v>
      </c>
      <c r="H97" s="46">
        <v>0</v>
      </c>
      <c r="I97" s="46">
        <f>G97+H97</f>
        <v>236539</v>
      </c>
      <c r="J97" s="46">
        <v>0</v>
      </c>
      <c r="K97" s="46">
        <f>I97+J97</f>
        <v>236539</v>
      </c>
      <c r="L97" s="46">
        <v>331295</v>
      </c>
      <c r="M97" s="46">
        <v>0</v>
      </c>
      <c r="N97" s="46">
        <f>L97+M97</f>
        <v>331295</v>
      </c>
      <c r="O97" s="46">
        <v>0</v>
      </c>
      <c r="P97" s="46">
        <f>N97+O97</f>
        <v>331295</v>
      </c>
      <c r="Q97" s="46">
        <v>331295</v>
      </c>
      <c r="R97" s="46">
        <v>0</v>
      </c>
      <c r="S97" s="46">
        <f>Q97+R97</f>
        <v>331295</v>
      </c>
    </row>
    <row r="98" spans="1:19" s="17" customFormat="1">
      <c r="A98" s="14" t="s">
        <v>13</v>
      </c>
      <c r="B98" s="15" t="s">
        <v>9</v>
      </c>
      <c r="C98" s="15" t="s">
        <v>12</v>
      </c>
      <c r="D98" s="15" t="s">
        <v>77</v>
      </c>
      <c r="E98" s="15" t="s">
        <v>14</v>
      </c>
      <c r="F98" s="15" t="s">
        <v>0</v>
      </c>
      <c r="G98" s="52">
        <f t="shared" ref="G98:S98" si="98">G99</f>
        <v>99456</v>
      </c>
      <c r="H98" s="52">
        <f t="shared" si="98"/>
        <v>0</v>
      </c>
      <c r="I98" s="52">
        <f t="shared" si="98"/>
        <v>99456</v>
      </c>
      <c r="J98" s="52">
        <f t="shared" si="98"/>
        <v>0</v>
      </c>
      <c r="K98" s="52">
        <f t="shared" si="98"/>
        <v>99456</v>
      </c>
      <c r="L98" s="52">
        <f t="shared" si="98"/>
        <v>102439.67999999999</v>
      </c>
      <c r="M98" s="52">
        <f t="shared" si="98"/>
        <v>0</v>
      </c>
      <c r="N98" s="52">
        <f t="shared" si="98"/>
        <v>102439.67999999999</v>
      </c>
      <c r="O98" s="52">
        <f t="shared" si="98"/>
        <v>0</v>
      </c>
      <c r="P98" s="52">
        <f t="shared" si="98"/>
        <v>102439.67999999999</v>
      </c>
      <c r="Q98" s="52">
        <f t="shared" si="98"/>
        <v>105512.87</v>
      </c>
      <c r="R98" s="52">
        <f t="shared" si="98"/>
        <v>0</v>
      </c>
      <c r="S98" s="52">
        <f t="shared" si="98"/>
        <v>105512.87</v>
      </c>
    </row>
    <row r="99" spans="1:19" s="17" customFormat="1">
      <c r="A99" s="14" t="s">
        <v>44</v>
      </c>
      <c r="B99" s="15" t="s">
        <v>9</v>
      </c>
      <c r="C99" s="15" t="s">
        <v>12</v>
      </c>
      <c r="D99" s="15" t="s">
        <v>77</v>
      </c>
      <c r="E99" s="15" t="s">
        <v>45</v>
      </c>
      <c r="F99" s="15" t="s">
        <v>0</v>
      </c>
      <c r="G99" s="52">
        <f t="shared" ref="G99:S99" si="99">G100+G104+G108</f>
        <v>99456</v>
      </c>
      <c r="H99" s="52">
        <f t="shared" si="99"/>
        <v>0</v>
      </c>
      <c r="I99" s="52">
        <f t="shared" si="99"/>
        <v>99456</v>
      </c>
      <c r="J99" s="52">
        <f t="shared" ref="J99:K99" si="100">J100+J104+J108</f>
        <v>0</v>
      </c>
      <c r="K99" s="52">
        <f t="shared" si="100"/>
        <v>99456</v>
      </c>
      <c r="L99" s="52">
        <f t="shared" si="99"/>
        <v>102439.67999999999</v>
      </c>
      <c r="M99" s="52">
        <f t="shared" si="99"/>
        <v>0</v>
      </c>
      <c r="N99" s="52">
        <f t="shared" si="99"/>
        <v>102439.67999999999</v>
      </c>
      <c r="O99" s="52">
        <f t="shared" ref="O99:P99" si="101">O100+O104+O108</f>
        <v>0</v>
      </c>
      <c r="P99" s="52">
        <f t="shared" si="101"/>
        <v>102439.67999999999</v>
      </c>
      <c r="Q99" s="52">
        <f t="shared" si="99"/>
        <v>105512.87</v>
      </c>
      <c r="R99" s="52">
        <f t="shared" si="99"/>
        <v>0</v>
      </c>
      <c r="S99" s="52">
        <f t="shared" si="99"/>
        <v>105512.87</v>
      </c>
    </row>
    <row r="100" spans="1:19" s="17" customFormat="1" ht="27" hidden="1" outlineLevel="1">
      <c r="A100" s="18" t="s">
        <v>84</v>
      </c>
      <c r="B100" s="19" t="s">
        <v>9</v>
      </c>
      <c r="C100" s="19" t="s">
        <v>12</v>
      </c>
      <c r="D100" s="19" t="s">
        <v>77</v>
      </c>
      <c r="E100" s="19" t="s">
        <v>85</v>
      </c>
      <c r="F100" s="19" t="s">
        <v>0</v>
      </c>
      <c r="G100" s="33">
        <f t="shared" ref="G100:S100" si="102">G101+G102+G103</f>
        <v>0</v>
      </c>
      <c r="H100" s="33">
        <f t="shared" si="102"/>
        <v>0</v>
      </c>
      <c r="I100" s="33">
        <f t="shared" si="102"/>
        <v>0</v>
      </c>
      <c r="J100" s="33">
        <f t="shared" ref="J100:K100" si="103">J101+J102+J103</f>
        <v>0</v>
      </c>
      <c r="K100" s="33">
        <f t="shared" si="103"/>
        <v>0</v>
      </c>
      <c r="L100" s="33">
        <f t="shared" si="102"/>
        <v>0</v>
      </c>
      <c r="M100" s="33">
        <f t="shared" si="102"/>
        <v>0</v>
      </c>
      <c r="N100" s="33">
        <f t="shared" si="102"/>
        <v>0</v>
      </c>
      <c r="O100" s="33">
        <f t="shared" ref="O100:P100" si="104">O101+O102+O103</f>
        <v>0</v>
      </c>
      <c r="P100" s="33">
        <f t="shared" si="104"/>
        <v>0</v>
      </c>
      <c r="Q100" s="33">
        <f t="shared" si="102"/>
        <v>0</v>
      </c>
      <c r="R100" s="33">
        <f t="shared" si="102"/>
        <v>0</v>
      </c>
      <c r="S100" s="33">
        <f t="shared" si="102"/>
        <v>0</v>
      </c>
    </row>
    <row r="101" spans="1:19" s="17" customFormat="1" hidden="1" outlineLevel="1">
      <c r="A101" s="21" t="s">
        <v>21</v>
      </c>
      <c r="B101" s="22" t="s">
        <v>9</v>
      </c>
      <c r="C101" s="22" t="s">
        <v>12</v>
      </c>
      <c r="D101" s="22" t="s">
        <v>77</v>
      </c>
      <c r="E101" s="22" t="s">
        <v>85</v>
      </c>
      <c r="F101" s="22" t="s">
        <v>22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</row>
    <row r="102" spans="1:19" s="17" customFormat="1" hidden="1" outlineLevel="1">
      <c r="A102" s="21" t="s">
        <v>72</v>
      </c>
      <c r="B102" s="22" t="s">
        <v>9</v>
      </c>
      <c r="C102" s="22" t="s">
        <v>12</v>
      </c>
      <c r="D102" s="22" t="s">
        <v>77</v>
      </c>
      <c r="E102" s="22" t="s">
        <v>85</v>
      </c>
      <c r="F102" s="22" t="s">
        <v>73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</row>
    <row r="103" spans="1:19" s="17" customFormat="1" hidden="1" outlineLevel="1">
      <c r="A103" s="21" t="s">
        <v>86</v>
      </c>
      <c r="B103" s="22" t="s">
        <v>9</v>
      </c>
      <c r="C103" s="22" t="s">
        <v>12</v>
      </c>
      <c r="D103" s="22" t="s">
        <v>77</v>
      </c>
      <c r="E103" s="22" t="s">
        <v>85</v>
      </c>
      <c r="F103" s="22" t="s">
        <v>87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</row>
    <row r="104" spans="1:19" s="17" customFormat="1" ht="13.5" hidden="1" outlineLevel="1">
      <c r="A104" s="18" t="s">
        <v>88</v>
      </c>
      <c r="B104" s="19" t="s">
        <v>9</v>
      </c>
      <c r="C104" s="19" t="s">
        <v>12</v>
      </c>
      <c r="D104" s="19" t="s">
        <v>77</v>
      </c>
      <c r="E104" s="19" t="s">
        <v>89</v>
      </c>
      <c r="F104" s="19" t="s">
        <v>0</v>
      </c>
      <c r="G104" s="33">
        <f t="shared" ref="G104:S104" si="105">G105+G106+G107</f>
        <v>0</v>
      </c>
      <c r="H104" s="33">
        <f t="shared" si="105"/>
        <v>0</v>
      </c>
      <c r="I104" s="33">
        <f t="shared" si="105"/>
        <v>0</v>
      </c>
      <c r="J104" s="33">
        <f t="shared" ref="J104:K104" si="106">J105+J106+J107</f>
        <v>0</v>
      </c>
      <c r="K104" s="33">
        <f t="shared" si="106"/>
        <v>0</v>
      </c>
      <c r="L104" s="33">
        <f t="shared" si="105"/>
        <v>0</v>
      </c>
      <c r="M104" s="33">
        <f t="shared" si="105"/>
        <v>0</v>
      </c>
      <c r="N104" s="33">
        <f t="shared" si="105"/>
        <v>0</v>
      </c>
      <c r="O104" s="33">
        <f t="shared" ref="O104:P104" si="107">O105+O106+O107</f>
        <v>0</v>
      </c>
      <c r="P104" s="33">
        <f t="shared" si="107"/>
        <v>0</v>
      </c>
      <c r="Q104" s="33">
        <f t="shared" si="105"/>
        <v>0</v>
      </c>
      <c r="R104" s="33">
        <f t="shared" si="105"/>
        <v>0</v>
      </c>
      <c r="S104" s="33">
        <f t="shared" si="105"/>
        <v>0</v>
      </c>
    </row>
    <row r="105" spans="1:19" s="17" customFormat="1" hidden="1" outlineLevel="1">
      <c r="A105" s="21" t="s">
        <v>19</v>
      </c>
      <c r="B105" s="22" t="s">
        <v>9</v>
      </c>
      <c r="C105" s="22" t="s">
        <v>12</v>
      </c>
      <c r="D105" s="22" t="s">
        <v>77</v>
      </c>
      <c r="E105" s="22" t="s">
        <v>89</v>
      </c>
      <c r="F105" s="22" t="s">
        <v>20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</row>
    <row r="106" spans="1:19" s="17" customFormat="1" hidden="1" outlineLevel="1">
      <c r="A106" s="21" t="s">
        <v>21</v>
      </c>
      <c r="B106" s="22" t="s">
        <v>9</v>
      </c>
      <c r="C106" s="22" t="s">
        <v>12</v>
      </c>
      <c r="D106" s="22" t="s">
        <v>77</v>
      </c>
      <c r="E106" s="22" t="s">
        <v>89</v>
      </c>
      <c r="F106" s="22" t="s">
        <v>22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</row>
    <row r="107" spans="1:19" s="17" customFormat="1" hidden="1" outlineLevel="1">
      <c r="A107" s="21" t="s">
        <v>72</v>
      </c>
      <c r="B107" s="22" t="s">
        <v>9</v>
      </c>
      <c r="C107" s="22" t="s">
        <v>12</v>
      </c>
      <c r="D107" s="22" t="s">
        <v>77</v>
      </c>
      <c r="E107" s="22" t="s">
        <v>89</v>
      </c>
      <c r="F107" s="22" t="s">
        <v>73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</row>
    <row r="108" spans="1:19" s="17" customFormat="1" ht="13.5" collapsed="1">
      <c r="A108" s="18" t="s">
        <v>70</v>
      </c>
      <c r="B108" s="19" t="s">
        <v>9</v>
      </c>
      <c r="C108" s="19" t="s">
        <v>12</v>
      </c>
      <c r="D108" s="19">
        <v>14</v>
      </c>
      <c r="E108" s="19" t="s">
        <v>71</v>
      </c>
      <c r="F108" s="19" t="s">
        <v>0</v>
      </c>
      <c r="G108" s="33">
        <f t="shared" ref="G108:S108" si="108">G109</f>
        <v>99456</v>
      </c>
      <c r="H108" s="33">
        <f t="shared" si="108"/>
        <v>0</v>
      </c>
      <c r="I108" s="33">
        <f t="shared" si="108"/>
        <v>99456</v>
      </c>
      <c r="J108" s="33">
        <f t="shared" si="108"/>
        <v>0</v>
      </c>
      <c r="K108" s="33">
        <f t="shared" si="108"/>
        <v>99456</v>
      </c>
      <c r="L108" s="33">
        <f t="shared" si="108"/>
        <v>102439.67999999999</v>
      </c>
      <c r="M108" s="33">
        <f t="shared" si="108"/>
        <v>0</v>
      </c>
      <c r="N108" s="33">
        <f t="shared" si="108"/>
        <v>102439.67999999999</v>
      </c>
      <c r="O108" s="33">
        <f t="shared" si="108"/>
        <v>0</v>
      </c>
      <c r="P108" s="33">
        <f t="shared" si="108"/>
        <v>102439.67999999999</v>
      </c>
      <c r="Q108" s="33">
        <f t="shared" si="108"/>
        <v>105512.87</v>
      </c>
      <c r="R108" s="33">
        <f t="shared" si="108"/>
        <v>0</v>
      </c>
      <c r="S108" s="33">
        <f t="shared" si="108"/>
        <v>105512.87</v>
      </c>
    </row>
    <row r="109" spans="1:19" s="17" customFormat="1">
      <c r="A109" s="21" t="s">
        <v>21</v>
      </c>
      <c r="B109" s="22" t="s">
        <v>9</v>
      </c>
      <c r="C109" s="22" t="s">
        <v>12</v>
      </c>
      <c r="D109" s="22">
        <v>14</v>
      </c>
      <c r="E109" s="22" t="s">
        <v>71</v>
      </c>
      <c r="F109" s="22" t="s">
        <v>22</v>
      </c>
      <c r="G109" s="46">
        <v>99456</v>
      </c>
      <c r="H109" s="46">
        <v>0</v>
      </c>
      <c r="I109" s="46">
        <f>G109+H109</f>
        <v>99456</v>
      </c>
      <c r="J109" s="46">
        <v>0</v>
      </c>
      <c r="K109" s="46">
        <f>I109+J109</f>
        <v>99456</v>
      </c>
      <c r="L109" s="46">
        <v>102439.67999999999</v>
      </c>
      <c r="M109" s="46">
        <v>0</v>
      </c>
      <c r="N109" s="46">
        <f>L109+M109</f>
        <v>102439.67999999999</v>
      </c>
      <c r="O109" s="46">
        <v>0</v>
      </c>
      <c r="P109" s="46">
        <f>N109+O109</f>
        <v>102439.67999999999</v>
      </c>
      <c r="Q109" s="46">
        <v>105512.87</v>
      </c>
      <c r="R109" s="46">
        <v>0</v>
      </c>
      <c r="S109" s="46">
        <f>Q109+R109</f>
        <v>105512.87</v>
      </c>
    </row>
    <row r="110" spans="1:19" s="17" customFormat="1">
      <c r="A110" s="14" t="s">
        <v>222</v>
      </c>
      <c r="B110" s="15" t="s">
        <v>9</v>
      </c>
      <c r="C110" s="15" t="s">
        <v>31</v>
      </c>
      <c r="D110" s="15" t="s">
        <v>0</v>
      </c>
      <c r="E110" s="15" t="s">
        <v>0</v>
      </c>
      <c r="F110" s="15" t="s">
        <v>0</v>
      </c>
      <c r="G110" s="52">
        <f t="shared" ref="G110:S110" si="109">G111+G116</f>
        <v>18321665.369999997</v>
      </c>
      <c r="H110" s="52">
        <f t="shared" si="109"/>
        <v>3827642.0200000005</v>
      </c>
      <c r="I110" s="52">
        <f t="shared" si="109"/>
        <v>22149307.390000001</v>
      </c>
      <c r="J110" s="52">
        <f t="shared" ref="J110:K110" si="110">J111+J116</f>
        <v>0</v>
      </c>
      <c r="K110" s="52">
        <f t="shared" si="110"/>
        <v>22149307.390000001</v>
      </c>
      <c r="L110" s="52">
        <f t="shared" si="109"/>
        <v>18619412.210000001</v>
      </c>
      <c r="M110" s="52">
        <f t="shared" si="109"/>
        <v>0</v>
      </c>
      <c r="N110" s="52">
        <f t="shared" si="109"/>
        <v>18619412.210000001</v>
      </c>
      <c r="O110" s="52">
        <f t="shared" ref="O110:P110" si="111">O111+O116</f>
        <v>0</v>
      </c>
      <c r="P110" s="52">
        <f t="shared" si="111"/>
        <v>18619412.210000001</v>
      </c>
      <c r="Q110" s="52">
        <f t="shared" si="109"/>
        <v>19125474.09</v>
      </c>
      <c r="R110" s="52">
        <f t="shared" si="109"/>
        <v>0</v>
      </c>
      <c r="S110" s="52">
        <f t="shared" si="109"/>
        <v>19125474.09</v>
      </c>
    </row>
    <row r="111" spans="1:19" s="17" customFormat="1">
      <c r="A111" s="14" t="s">
        <v>90</v>
      </c>
      <c r="B111" s="15" t="s">
        <v>9</v>
      </c>
      <c r="C111" s="15" t="s">
        <v>31</v>
      </c>
      <c r="D111" s="15" t="s">
        <v>91</v>
      </c>
      <c r="E111" s="15" t="s">
        <v>0</v>
      </c>
      <c r="F111" s="15" t="s">
        <v>0</v>
      </c>
      <c r="G111" s="52">
        <f t="shared" ref="G111:K114" si="112">G112</f>
        <v>16326642.369999999</v>
      </c>
      <c r="H111" s="52">
        <f t="shared" si="112"/>
        <v>1400975.3600000001</v>
      </c>
      <c r="I111" s="52">
        <f t="shared" si="112"/>
        <v>17727617.73</v>
      </c>
      <c r="J111" s="52">
        <f t="shared" si="112"/>
        <v>0</v>
      </c>
      <c r="K111" s="52">
        <f t="shared" si="112"/>
        <v>17727617.73</v>
      </c>
      <c r="L111" s="52">
        <f t="shared" ref="L111:S114" si="113">L112</f>
        <v>16868729.210000001</v>
      </c>
      <c r="M111" s="52">
        <f t="shared" si="113"/>
        <v>0</v>
      </c>
      <c r="N111" s="52">
        <f t="shared" si="113"/>
        <v>16868729.210000001</v>
      </c>
      <c r="O111" s="52">
        <f t="shared" si="113"/>
        <v>0</v>
      </c>
      <c r="P111" s="52">
        <f t="shared" si="113"/>
        <v>16868729.210000001</v>
      </c>
      <c r="Q111" s="52">
        <f t="shared" si="113"/>
        <v>17374791.09</v>
      </c>
      <c r="R111" s="52">
        <f t="shared" si="113"/>
        <v>0</v>
      </c>
      <c r="S111" s="52">
        <f t="shared" si="113"/>
        <v>17374791.09</v>
      </c>
    </row>
    <row r="112" spans="1:19" s="17" customFormat="1">
      <c r="A112" s="14" t="s">
        <v>13</v>
      </c>
      <c r="B112" s="15" t="s">
        <v>9</v>
      </c>
      <c r="C112" s="15" t="s">
        <v>31</v>
      </c>
      <c r="D112" s="15" t="s">
        <v>91</v>
      </c>
      <c r="E112" s="15" t="s">
        <v>14</v>
      </c>
      <c r="F112" s="15" t="s">
        <v>0</v>
      </c>
      <c r="G112" s="52">
        <f t="shared" si="112"/>
        <v>16326642.369999999</v>
      </c>
      <c r="H112" s="52">
        <f t="shared" si="112"/>
        <v>1400975.3600000001</v>
      </c>
      <c r="I112" s="52">
        <f t="shared" si="112"/>
        <v>17727617.73</v>
      </c>
      <c r="J112" s="52">
        <f t="shared" si="112"/>
        <v>0</v>
      </c>
      <c r="K112" s="52">
        <f t="shared" si="112"/>
        <v>17727617.73</v>
      </c>
      <c r="L112" s="52">
        <f t="shared" si="113"/>
        <v>16868729.210000001</v>
      </c>
      <c r="M112" s="52">
        <f t="shared" si="113"/>
        <v>0</v>
      </c>
      <c r="N112" s="52">
        <f t="shared" si="113"/>
        <v>16868729.210000001</v>
      </c>
      <c r="O112" s="52">
        <f t="shared" si="113"/>
        <v>0</v>
      </c>
      <c r="P112" s="52">
        <f t="shared" si="113"/>
        <v>16868729.210000001</v>
      </c>
      <c r="Q112" s="52">
        <f t="shared" si="113"/>
        <v>17374791.09</v>
      </c>
      <c r="R112" s="52">
        <f t="shared" si="113"/>
        <v>0</v>
      </c>
      <c r="S112" s="52">
        <f t="shared" si="113"/>
        <v>17374791.09</v>
      </c>
    </row>
    <row r="113" spans="1:19" s="17" customFormat="1">
      <c r="A113" s="14" t="s">
        <v>44</v>
      </c>
      <c r="B113" s="15" t="s">
        <v>9</v>
      </c>
      <c r="C113" s="15" t="s">
        <v>31</v>
      </c>
      <c r="D113" s="15" t="s">
        <v>91</v>
      </c>
      <c r="E113" s="15" t="s">
        <v>45</v>
      </c>
      <c r="F113" s="15" t="s">
        <v>0</v>
      </c>
      <c r="G113" s="52">
        <f t="shared" si="112"/>
        <v>16326642.369999999</v>
      </c>
      <c r="H113" s="52">
        <f t="shared" si="112"/>
        <v>1400975.3600000001</v>
      </c>
      <c r="I113" s="52">
        <f t="shared" si="112"/>
        <v>17727617.73</v>
      </c>
      <c r="J113" s="52">
        <f t="shared" si="112"/>
        <v>0</v>
      </c>
      <c r="K113" s="52">
        <f t="shared" si="112"/>
        <v>17727617.73</v>
      </c>
      <c r="L113" s="52">
        <f t="shared" si="113"/>
        <v>16868729.210000001</v>
      </c>
      <c r="M113" s="52">
        <f t="shared" si="113"/>
        <v>0</v>
      </c>
      <c r="N113" s="52">
        <f t="shared" si="113"/>
        <v>16868729.210000001</v>
      </c>
      <c r="O113" s="52">
        <f t="shared" si="113"/>
        <v>0</v>
      </c>
      <c r="P113" s="52">
        <f t="shared" si="113"/>
        <v>16868729.210000001</v>
      </c>
      <c r="Q113" s="52">
        <f t="shared" si="113"/>
        <v>17374791.09</v>
      </c>
      <c r="R113" s="52">
        <f t="shared" si="113"/>
        <v>0</v>
      </c>
      <c r="S113" s="52">
        <f t="shared" si="113"/>
        <v>17374791.09</v>
      </c>
    </row>
    <row r="114" spans="1:19" s="17" customFormat="1" ht="13.5">
      <c r="A114" s="18" t="s">
        <v>88</v>
      </c>
      <c r="B114" s="19" t="s">
        <v>9</v>
      </c>
      <c r="C114" s="19" t="s">
        <v>31</v>
      </c>
      <c r="D114" s="19" t="s">
        <v>91</v>
      </c>
      <c r="E114" s="19" t="s">
        <v>89</v>
      </c>
      <c r="F114" s="19" t="s">
        <v>0</v>
      </c>
      <c r="G114" s="33">
        <f t="shared" si="112"/>
        <v>16326642.369999999</v>
      </c>
      <c r="H114" s="33">
        <f t="shared" si="112"/>
        <v>1400975.3600000001</v>
      </c>
      <c r="I114" s="33">
        <f t="shared" si="112"/>
        <v>17727617.73</v>
      </c>
      <c r="J114" s="33">
        <f t="shared" si="112"/>
        <v>0</v>
      </c>
      <c r="K114" s="33">
        <f t="shared" si="112"/>
        <v>17727617.73</v>
      </c>
      <c r="L114" s="33">
        <f t="shared" si="113"/>
        <v>16868729.210000001</v>
      </c>
      <c r="M114" s="33">
        <f t="shared" si="113"/>
        <v>0</v>
      </c>
      <c r="N114" s="33">
        <f t="shared" si="113"/>
        <v>16868729.210000001</v>
      </c>
      <c r="O114" s="33">
        <f t="shared" si="113"/>
        <v>0</v>
      </c>
      <c r="P114" s="33">
        <f t="shared" si="113"/>
        <v>16868729.210000001</v>
      </c>
      <c r="Q114" s="33">
        <f t="shared" si="113"/>
        <v>17374791.09</v>
      </c>
      <c r="R114" s="33">
        <f t="shared" si="113"/>
        <v>0</v>
      </c>
      <c r="S114" s="33">
        <f t="shared" si="113"/>
        <v>17374791.09</v>
      </c>
    </row>
    <row r="115" spans="1:19" s="17" customFormat="1">
      <c r="A115" s="21" t="s">
        <v>21</v>
      </c>
      <c r="B115" s="22" t="s">
        <v>9</v>
      </c>
      <c r="C115" s="22" t="s">
        <v>31</v>
      </c>
      <c r="D115" s="22" t="s">
        <v>91</v>
      </c>
      <c r="E115" s="22" t="s">
        <v>89</v>
      </c>
      <c r="F115" s="22" t="s">
        <v>22</v>
      </c>
      <c r="G115" s="46">
        <f>16279488.33+47154.04</f>
        <v>16326642.369999999</v>
      </c>
      <c r="H115" s="46">
        <v>1400975.3600000001</v>
      </c>
      <c r="I115" s="46">
        <f>G115+H115</f>
        <v>17727617.73</v>
      </c>
      <c r="J115" s="46">
        <v>0</v>
      </c>
      <c r="K115" s="46">
        <f>I115+J115</f>
        <v>17727617.73</v>
      </c>
      <c r="L115" s="46">
        <f>16868729.21</f>
        <v>16868729.210000001</v>
      </c>
      <c r="M115" s="46">
        <v>0</v>
      </c>
      <c r="N115" s="46">
        <f>L115+M115</f>
        <v>16868729.210000001</v>
      </c>
      <c r="O115" s="46">
        <v>0</v>
      </c>
      <c r="P115" s="46">
        <f>N115+O115</f>
        <v>16868729.210000001</v>
      </c>
      <c r="Q115" s="46">
        <v>17374791.09</v>
      </c>
      <c r="R115" s="46">
        <v>0</v>
      </c>
      <c r="S115" s="46">
        <f>Q115+R115</f>
        <v>17374791.09</v>
      </c>
    </row>
    <row r="116" spans="1:19" s="17" customFormat="1">
      <c r="A116" s="14" t="s">
        <v>92</v>
      </c>
      <c r="B116" s="15" t="s">
        <v>9</v>
      </c>
      <c r="C116" s="15" t="s">
        <v>31</v>
      </c>
      <c r="D116" s="15" t="s">
        <v>93</v>
      </c>
      <c r="E116" s="15" t="s">
        <v>0</v>
      </c>
      <c r="F116" s="15" t="s">
        <v>0</v>
      </c>
      <c r="G116" s="52">
        <f t="shared" ref="G116:S116" si="114">G117+G121+G125</f>
        <v>1995023</v>
      </c>
      <c r="H116" s="52">
        <f t="shared" si="114"/>
        <v>2426666.66</v>
      </c>
      <c r="I116" s="52">
        <f t="shared" si="114"/>
        <v>4421689.66</v>
      </c>
      <c r="J116" s="52">
        <f t="shared" ref="J116:K116" si="115">J117+J121+J125</f>
        <v>0</v>
      </c>
      <c r="K116" s="52">
        <f t="shared" si="115"/>
        <v>4421689.66</v>
      </c>
      <c r="L116" s="52">
        <f t="shared" si="114"/>
        <v>1750683</v>
      </c>
      <c r="M116" s="52">
        <f t="shared" si="114"/>
        <v>0</v>
      </c>
      <c r="N116" s="52">
        <f t="shared" si="114"/>
        <v>1750683</v>
      </c>
      <c r="O116" s="52">
        <f t="shared" ref="O116:P116" si="116">O117+O121+O125</f>
        <v>0</v>
      </c>
      <c r="P116" s="52">
        <f t="shared" si="116"/>
        <v>1750683</v>
      </c>
      <c r="Q116" s="52">
        <f t="shared" si="114"/>
        <v>1750683</v>
      </c>
      <c r="R116" s="52">
        <f t="shared" si="114"/>
        <v>0</v>
      </c>
      <c r="S116" s="52">
        <f t="shared" si="114"/>
        <v>1750683</v>
      </c>
    </row>
    <row r="117" spans="1:19" s="17" customFormat="1" hidden="1" outlineLevel="1">
      <c r="A117" s="14" t="s">
        <v>13</v>
      </c>
      <c r="B117" s="15" t="s">
        <v>9</v>
      </c>
      <c r="C117" s="15" t="s">
        <v>31</v>
      </c>
      <c r="D117" s="15" t="s">
        <v>93</v>
      </c>
      <c r="E117" s="15" t="s">
        <v>14</v>
      </c>
      <c r="F117" s="15" t="s">
        <v>0</v>
      </c>
      <c r="G117" s="52">
        <f t="shared" ref="G117:S119" si="117">G118</f>
        <v>0</v>
      </c>
      <c r="H117" s="52">
        <f t="shared" si="117"/>
        <v>0</v>
      </c>
      <c r="I117" s="52">
        <f t="shared" si="117"/>
        <v>0</v>
      </c>
      <c r="J117" s="52">
        <f t="shared" si="117"/>
        <v>0</v>
      </c>
      <c r="K117" s="52">
        <f t="shared" si="117"/>
        <v>0</v>
      </c>
      <c r="L117" s="52">
        <f t="shared" si="117"/>
        <v>0</v>
      </c>
      <c r="M117" s="52">
        <f t="shared" si="117"/>
        <v>0</v>
      </c>
      <c r="N117" s="52">
        <f t="shared" si="117"/>
        <v>0</v>
      </c>
      <c r="O117" s="52">
        <f t="shared" si="117"/>
        <v>0</v>
      </c>
      <c r="P117" s="52">
        <f t="shared" si="117"/>
        <v>0</v>
      </c>
      <c r="Q117" s="52">
        <f>Q118</f>
        <v>0</v>
      </c>
      <c r="R117" s="52">
        <f t="shared" si="117"/>
        <v>0</v>
      </c>
      <c r="S117" s="52">
        <f t="shared" si="117"/>
        <v>0</v>
      </c>
    </row>
    <row r="118" spans="1:19" s="17" customFormat="1" hidden="1" outlineLevel="1">
      <c r="A118" s="14" t="s">
        <v>44</v>
      </c>
      <c r="B118" s="15" t="s">
        <v>9</v>
      </c>
      <c r="C118" s="15" t="s">
        <v>31</v>
      </c>
      <c r="D118" s="15" t="s">
        <v>93</v>
      </c>
      <c r="E118" s="15" t="s">
        <v>45</v>
      </c>
      <c r="F118" s="15" t="s">
        <v>0</v>
      </c>
      <c r="G118" s="52">
        <f t="shared" si="117"/>
        <v>0</v>
      </c>
      <c r="H118" s="52">
        <f t="shared" si="117"/>
        <v>0</v>
      </c>
      <c r="I118" s="52">
        <f t="shared" si="117"/>
        <v>0</v>
      </c>
      <c r="J118" s="52">
        <f t="shared" si="117"/>
        <v>0</v>
      </c>
      <c r="K118" s="52">
        <f t="shared" si="117"/>
        <v>0</v>
      </c>
      <c r="L118" s="52">
        <f t="shared" si="117"/>
        <v>0</v>
      </c>
      <c r="M118" s="52">
        <f t="shared" si="117"/>
        <v>0</v>
      </c>
      <c r="N118" s="52">
        <f t="shared" si="117"/>
        <v>0</v>
      </c>
      <c r="O118" s="52">
        <f t="shared" si="117"/>
        <v>0</v>
      </c>
      <c r="P118" s="52">
        <f t="shared" si="117"/>
        <v>0</v>
      </c>
      <c r="Q118" s="52">
        <f>Q119</f>
        <v>0</v>
      </c>
      <c r="R118" s="52">
        <f t="shared" si="117"/>
        <v>0</v>
      </c>
      <c r="S118" s="52">
        <f t="shared" si="117"/>
        <v>0</v>
      </c>
    </row>
    <row r="119" spans="1:19" s="17" customFormat="1" ht="13.5" hidden="1" outlineLevel="1">
      <c r="A119" s="18" t="s">
        <v>70</v>
      </c>
      <c r="B119" s="19" t="s">
        <v>9</v>
      </c>
      <c r="C119" s="19" t="s">
        <v>31</v>
      </c>
      <c r="D119" s="19" t="s">
        <v>93</v>
      </c>
      <c r="E119" s="19" t="s">
        <v>71</v>
      </c>
      <c r="F119" s="19" t="s">
        <v>0</v>
      </c>
      <c r="G119" s="33">
        <f t="shared" si="117"/>
        <v>0</v>
      </c>
      <c r="H119" s="33">
        <f t="shared" si="117"/>
        <v>0</v>
      </c>
      <c r="I119" s="33">
        <f t="shared" si="117"/>
        <v>0</v>
      </c>
      <c r="J119" s="33">
        <f t="shared" si="117"/>
        <v>0</v>
      </c>
      <c r="K119" s="33">
        <f t="shared" si="117"/>
        <v>0</v>
      </c>
      <c r="L119" s="33">
        <f t="shared" si="117"/>
        <v>0</v>
      </c>
      <c r="M119" s="33">
        <f t="shared" si="117"/>
        <v>0</v>
      </c>
      <c r="N119" s="33">
        <f t="shared" si="117"/>
        <v>0</v>
      </c>
      <c r="O119" s="33">
        <f t="shared" si="117"/>
        <v>0</v>
      </c>
      <c r="P119" s="33">
        <f t="shared" si="117"/>
        <v>0</v>
      </c>
      <c r="Q119" s="33">
        <f>Q120</f>
        <v>0</v>
      </c>
      <c r="R119" s="33">
        <f t="shared" si="117"/>
        <v>0</v>
      </c>
      <c r="S119" s="33">
        <f t="shared" si="117"/>
        <v>0</v>
      </c>
    </row>
    <row r="120" spans="1:19" s="17" customFormat="1" hidden="1" outlineLevel="1">
      <c r="A120" s="21" t="s">
        <v>128</v>
      </c>
      <c r="B120" s="22" t="s">
        <v>9</v>
      </c>
      <c r="C120" s="22" t="s">
        <v>31</v>
      </c>
      <c r="D120" s="22" t="s">
        <v>93</v>
      </c>
      <c r="E120" s="22" t="s">
        <v>71</v>
      </c>
      <c r="F120" s="22">
        <v>600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</row>
    <row r="121" spans="1:19" s="17" customFormat="1" ht="25.5" collapsed="1">
      <c r="A121" s="14" t="s">
        <v>94</v>
      </c>
      <c r="B121" s="15" t="s">
        <v>9</v>
      </c>
      <c r="C121" s="15" t="s">
        <v>31</v>
      </c>
      <c r="D121" s="15" t="s">
        <v>93</v>
      </c>
      <c r="E121" s="15" t="s">
        <v>95</v>
      </c>
      <c r="F121" s="15" t="s">
        <v>0</v>
      </c>
      <c r="G121" s="52">
        <f t="shared" ref="G121:K123" si="118">G122</f>
        <v>1295023</v>
      </c>
      <c r="H121" s="52">
        <f t="shared" si="118"/>
        <v>2426666.66</v>
      </c>
      <c r="I121" s="52">
        <f t="shared" si="118"/>
        <v>3721689.66</v>
      </c>
      <c r="J121" s="52">
        <f t="shared" si="118"/>
        <v>0</v>
      </c>
      <c r="K121" s="52">
        <f t="shared" si="118"/>
        <v>3721689.66</v>
      </c>
      <c r="L121" s="52">
        <f t="shared" ref="L121:S123" si="119">L122</f>
        <v>1050683</v>
      </c>
      <c r="M121" s="52">
        <f t="shared" si="119"/>
        <v>0</v>
      </c>
      <c r="N121" s="52">
        <f t="shared" si="119"/>
        <v>1050683</v>
      </c>
      <c r="O121" s="52">
        <f t="shared" si="119"/>
        <v>0</v>
      </c>
      <c r="P121" s="52">
        <f t="shared" si="119"/>
        <v>1050683</v>
      </c>
      <c r="Q121" s="52">
        <f t="shared" si="119"/>
        <v>1050683</v>
      </c>
      <c r="R121" s="52">
        <f t="shared" si="119"/>
        <v>0</v>
      </c>
      <c r="S121" s="52">
        <f t="shared" si="119"/>
        <v>1050683</v>
      </c>
    </row>
    <row r="122" spans="1:19" s="17" customFormat="1" ht="25.5">
      <c r="A122" s="14" t="s">
        <v>96</v>
      </c>
      <c r="B122" s="15" t="s">
        <v>9</v>
      </c>
      <c r="C122" s="15" t="s">
        <v>31</v>
      </c>
      <c r="D122" s="15" t="s">
        <v>93</v>
      </c>
      <c r="E122" s="15" t="s">
        <v>97</v>
      </c>
      <c r="F122" s="15" t="s">
        <v>0</v>
      </c>
      <c r="G122" s="52">
        <f t="shared" si="118"/>
        <v>1295023</v>
      </c>
      <c r="H122" s="52">
        <f t="shared" si="118"/>
        <v>2426666.66</v>
      </c>
      <c r="I122" s="52">
        <f t="shared" si="118"/>
        <v>3721689.66</v>
      </c>
      <c r="J122" s="52">
        <f t="shared" si="118"/>
        <v>0</v>
      </c>
      <c r="K122" s="52">
        <f t="shared" si="118"/>
        <v>3721689.66</v>
      </c>
      <c r="L122" s="52">
        <f t="shared" si="119"/>
        <v>1050683</v>
      </c>
      <c r="M122" s="52">
        <f t="shared" si="119"/>
        <v>0</v>
      </c>
      <c r="N122" s="52">
        <f t="shared" si="119"/>
        <v>1050683</v>
      </c>
      <c r="O122" s="52">
        <f t="shared" si="119"/>
        <v>0</v>
      </c>
      <c r="P122" s="52">
        <f t="shared" si="119"/>
        <v>1050683</v>
      </c>
      <c r="Q122" s="52">
        <f t="shared" si="119"/>
        <v>1050683</v>
      </c>
      <c r="R122" s="52">
        <f t="shared" si="119"/>
        <v>0</v>
      </c>
      <c r="S122" s="52">
        <f t="shared" si="119"/>
        <v>1050683</v>
      </c>
    </row>
    <row r="123" spans="1:19" s="17" customFormat="1" ht="27">
      <c r="A123" s="18" t="s">
        <v>98</v>
      </c>
      <c r="B123" s="19" t="s">
        <v>9</v>
      </c>
      <c r="C123" s="19" t="s">
        <v>31</v>
      </c>
      <c r="D123" s="19" t="s">
        <v>93</v>
      </c>
      <c r="E123" s="19" t="s">
        <v>99</v>
      </c>
      <c r="F123" s="19" t="s">
        <v>0</v>
      </c>
      <c r="G123" s="33">
        <f t="shared" si="118"/>
        <v>1295023</v>
      </c>
      <c r="H123" s="33">
        <f t="shared" si="118"/>
        <v>2426666.66</v>
      </c>
      <c r="I123" s="33">
        <f t="shared" si="118"/>
        <v>3721689.66</v>
      </c>
      <c r="J123" s="33">
        <f t="shared" si="118"/>
        <v>0</v>
      </c>
      <c r="K123" s="33">
        <f t="shared" si="118"/>
        <v>3721689.66</v>
      </c>
      <c r="L123" s="33">
        <f t="shared" si="119"/>
        <v>1050683</v>
      </c>
      <c r="M123" s="33">
        <f t="shared" si="119"/>
        <v>0</v>
      </c>
      <c r="N123" s="33">
        <f t="shared" si="119"/>
        <v>1050683</v>
      </c>
      <c r="O123" s="33">
        <f t="shared" si="119"/>
        <v>0</v>
      </c>
      <c r="P123" s="33">
        <f t="shared" si="119"/>
        <v>1050683</v>
      </c>
      <c r="Q123" s="33">
        <f t="shared" si="119"/>
        <v>1050683</v>
      </c>
      <c r="R123" s="33">
        <f t="shared" si="119"/>
        <v>0</v>
      </c>
      <c r="S123" s="33">
        <f t="shared" si="119"/>
        <v>1050683</v>
      </c>
    </row>
    <row r="124" spans="1:19" s="17" customFormat="1">
      <c r="A124" s="21" t="s">
        <v>21</v>
      </c>
      <c r="B124" s="22" t="s">
        <v>9</v>
      </c>
      <c r="C124" s="22" t="s">
        <v>31</v>
      </c>
      <c r="D124" s="22" t="s">
        <v>93</v>
      </c>
      <c r="E124" s="22" t="s">
        <v>99</v>
      </c>
      <c r="F124" s="22" t="s">
        <v>22</v>
      </c>
      <c r="G124" s="46">
        <v>1295023</v>
      </c>
      <c r="H124" s="46">
        <v>2426666.66</v>
      </c>
      <c r="I124" s="46">
        <f>G124+H124</f>
        <v>3721689.66</v>
      </c>
      <c r="J124" s="46">
        <v>0</v>
      </c>
      <c r="K124" s="46">
        <f>I124+J124</f>
        <v>3721689.66</v>
      </c>
      <c r="L124" s="46">
        <v>1050683</v>
      </c>
      <c r="M124" s="46">
        <v>0</v>
      </c>
      <c r="N124" s="46">
        <f>L124+M124</f>
        <v>1050683</v>
      </c>
      <c r="O124" s="46">
        <v>0</v>
      </c>
      <c r="P124" s="46">
        <f>N124+O124</f>
        <v>1050683</v>
      </c>
      <c r="Q124" s="46">
        <v>1050683</v>
      </c>
      <c r="R124" s="46">
        <v>0</v>
      </c>
      <c r="S124" s="46">
        <f>Q124+R124</f>
        <v>1050683</v>
      </c>
    </row>
    <row r="125" spans="1:19" s="17" customFormat="1">
      <c r="A125" s="14" t="s">
        <v>100</v>
      </c>
      <c r="B125" s="15" t="s">
        <v>9</v>
      </c>
      <c r="C125" s="15" t="s">
        <v>31</v>
      </c>
      <c r="D125" s="15" t="s">
        <v>93</v>
      </c>
      <c r="E125" s="15" t="s">
        <v>101</v>
      </c>
      <c r="F125" s="15" t="s">
        <v>0</v>
      </c>
      <c r="G125" s="52">
        <f t="shared" ref="G125:S125" si="120">G126</f>
        <v>700000</v>
      </c>
      <c r="H125" s="52">
        <f t="shared" si="120"/>
        <v>0</v>
      </c>
      <c r="I125" s="52">
        <f t="shared" si="120"/>
        <v>700000</v>
      </c>
      <c r="J125" s="52">
        <f t="shared" si="120"/>
        <v>0</v>
      </c>
      <c r="K125" s="52">
        <f t="shared" si="120"/>
        <v>700000</v>
      </c>
      <c r="L125" s="52">
        <f t="shared" si="120"/>
        <v>700000</v>
      </c>
      <c r="M125" s="52">
        <f t="shared" si="120"/>
        <v>0</v>
      </c>
      <c r="N125" s="52">
        <f t="shared" si="120"/>
        <v>700000</v>
      </c>
      <c r="O125" s="52">
        <f t="shared" si="120"/>
        <v>0</v>
      </c>
      <c r="P125" s="52">
        <f t="shared" si="120"/>
        <v>700000</v>
      </c>
      <c r="Q125" s="52">
        <f t="shared" si="120"/>
        <v>700000</v>
      </c>
      <c r="R125" s="52">
        <f t="shared" si="120"/>
        <v>0</v>
      </c>
      <c r="S125" s="52">
        <f t="shared" si="120"/>
        <v>700000</v>
      </c>
    </row>
    <row r="126" spans="1:19" s="17" customFormat="1">
      <c r="A126" s="14" t="s">
        <v>100</v>
      </c>
      <c r="B126" s="15" t="s">
        <v>9</v>
      </c>
      <c r="C126" s="15" t="s">
        <v>31</v>
      </c>
      <c r="D126" s="15" t="s">
        <v>93</v>
      </c>
      <c r="E126" s="15" t="s">
        <v>102</v>
      </c>
      <c r="F126" s="15" t="s">
        <v>0</v>
      </c>
      <c r="G126" s="52">
        <f t="shared" ref="G126:S126" si="121">G127+G130</f>
        <v>700000</v>
      </c>
      <c r="H126" s="52">
        <f t="shared" si="121"/>
        <v>0</v>
      </c>
      <c r="I126" s="52">
        <f t="shared" si="121"/>
        <v>700000</v>
      </c>
      <c r="J126" s="52">
        <f t="shared" ref="J126:K126" si="122">J127+J130</f>
        <v>0</v>
      </c>
      <c r="K126" s="52">
        <f t="shared" si="122"/>
        <v>700000</v>
      </c>
      <c r="L126" s="52">
        <f t="shared" si="121"/>
        <v>700000</v>
      </c>
      <c r="M126" s="52">
        <f t="shared" si="121"/>
        <v>0</v>
      </c>
      <c r="N126" s="52">
        <f t="shared" si="121"/>
        <v>700000</v>
      </c>
      <c r="O126" s="52">
        <f t="shared" ref="O126:P126" si="123">O127+O130</f>
        <v>0</v>
      </c>
      <c r="P126" s="52">
        <f t="shared" si="123"/>
        <v>700000</v>
      </c>
      <c r="Q126" s="52">
        <f t="shared" si="121"/>
        <v>700000</v>
      </c>
      <c r="R126" s="52">
        <f t="shared" si="121"/>
        <v>0</v>
      </c>
      <c r="S126" s="52">
        <f t="shared" si="121"/>
        <v>700000</v>
      </c>
    </row>
    <row r="127" spans="1:19" s="17" customFormat="1" ht="13.5" customHeight="1">
      <c r="A127" s="18" t="s">
        <v>103</v>
      </c>
      <c r="B127" s="19" t="s">
        <v>9</v>
      </c>
      <c r="C127" s="19" t="s">
        <v>31</v>
      </c>
      <c r="D127" s="19" t="s">
        <v>93</v>
      </c>
      <c r="E127" s="19" t="s">
        <v>104</v>
      </c>
      <c r="F127" s="19" t="s">
        <v>0</v>
      </c>
      <c r="G127" s="33">
        <f t="shared" ref="G127:S127" si="124">G128+G129</f>
        <v>500000</v>
      </c>
      <c r="H127" s="33">
        <f t="shared" si="124"/>
        <v>0</v>
      </c>
      <c r="I127" s="33">
        <f t="shared" si="124"/>
        <v>500000</v>
      </c>
      <c r="J127" s="33">
        <f t="shared" ref="J127:K127" si="125">J128+J129</f>
        <v>0</v>
      </c>
      <c r="K127" s="33">
        <f t="shared" si="125"/>
        <v>500000</v>
      </c>
      <c r="L127" s="33">
        <f t="shared" si="124"/>
        <v>500000</v>
      </c>
      <c r="M127" s="33">
        <f t="shared" si="124"/>
        <v>0</v>
      </c>
      <c r="N127" s="33">
        <f t="shared" si="124"/>
        <v>500000</v>
      </c>
      <c r="O127" s="33">
        <f t="shared" ref="O127:P127" si="126">O128+O129</f>
        <v>0</v>
      </c>
      <c r="P127" s="33">
        <f t="shared" si="126"/>
        <v>500000</v>
      </c>
      <c r="Q127" s="33">
        <f t="shared" si="124"/>
        <v>500000</v>
      </c>
      <c r="R127" s="33">
        <f t="shared" si="124"/>
        <v>0</v>
      </c>
      <c r="S127" s="33">
        <f t="shared" si="124"/>
        <v>500000</v>
      </c>
    </row>
    <row r="128" spans="1:19" s="17" customFormat="1">
      <c r="A128" s="21" t="s">
        <v>21</v>
      </c>
      <c r="B128" s="22" t="s">
        <v>9</v>
      </c>
      <c r="C128" s="22" t="s">
        <v>31</v>
      </c>
      <c r="D128" s="22" t="s">
        <v>93</v>
      </c>
      <c r="E128" s="22" t="s">
        <v>104</v>
      </c>
      <c r="F128" s="22" t="s">
        <v>22</v>
      </c>
      <c r="G128" s="46">
        <v>18000</v>
      </c>
      <c r="H128" s="46">
        <v>0</v>
      </c>
      <c r="I128" s="46">
        <f>G128+H128</f>
        <v>18000</v>
      </c>
      <c r="J128" s="46">
        <v>0</v>
      </c>
      <c r="K128" s="46">
        <f>I128+J128</f>
        <v>18000</v>
      </c>
      <c r="L128" s="46">
        <v>18000</v>
      </c>
      <c r="M128" s="46">
        <v>0</v>
      </c>
      <c r="N128" s="46">
        <f>L128+M128</f>
        <v>18000</v>
      </c>
      <c r="O128" s="46">
        <v>0</v>
      </c>
      <c r="P128" s="46">
        <f>N128+O128</f>
        <v>18000</v>
      </c>
      <c r="Q128" s="46">
        <v>18000</v>
      </c>
      <c r="R128" s="46">
        <v>0</v>
      </c>
      <c r="S128" s="46">
        <f>Q128+R128</f>
        <v>18000</v>
      </c>
    </row>
    <row r="129" spans="1:19" s="17" customFormat="1">
      <c r="A129" s="21" t="s">
        <v>40</v>
      </c>
      <c r="B129" s="22" t="s">
        <v>9</v>
      </c>
      <c r="C129" s="22" t="s">
        <v>31</v>
      </c>
      <c r="D129" s="22" t="s">
        <v>93</v>
      </c>
      <c r="E129" s="22" t="s">
        <v>104</v>
      </c>
      <c r="F129" s="22" t="s">
        <v>41</v>
      </c>
      <c r="G129" s="46">
        <v>482000</v>
      </c>
      <c r="H129" s="46">
        <v>0</v>
      </c>
      <c r="I129" s="46">
        <f>G129+H129</f>
        <v>482000</v>
      </c>
      <c r="J129" s="46">
        <v>0</v>
      </c>
      <c r="K129" s="46">
        <f>I129+J129</f>
        <v>482000</v>
      </c>
      <c r="L129" s="46">
        <v>482000</v>
      </c>
      <c r="M129" s="46">
        <v>0</v>
      </c>
      <c r="N129" s="46">
        <f>L129+M129</f>
        <v>482000</v>
      </c>
      <c r="O129" s="46">
        <v>0</v>
      </c>
      <c r="P129" s="46">
        <f>N129+O129</f>
        <v>482000</v>
      </c>
      <c r="Q129" s="46">
        <v>482000</v>
      </c>
      <c r="R129" s="46">
        <v>0</v>
      </c>
      <c r="S129" s="46">
        <f>Q129+R129</f>
        <v>482000</v>
      </c>
    </row>
    <row r="130" spans="1:19" s="17" customFormat="1" ht="27">
      <c r="A130" s="18" t="s">
        <v>105</v>
      </c>
      <c r="B130" s="19" t="s">
        <v>9</v>
      </c>
      <c r="C130" s="19" t="s">
        <v>31</v>
      </c>
      <c r="D130" s="19" t="s">
        <v>93</v>
      </c>
      <c r="E130" s="19" t="s">
        <v>106</v>
      </c>
      <c r="F130" s="19" t="s">
        <v>0</v>
      </c>
      <c r="G130" s="33">
        <f t="shared" ref="G130:S130" si="127">G131</f>
        <v>200000</v>
      </c>
      <c r="H130" s="33">
        <f t="shared" si="127"/>
        <v>0</v>
      </c>
      <c r="I130" s="33">
        <f t="shared" si="127"/>
        <v>200000</v>
      </c>
      <c r="J130" s="33">
        <f t="shared" si="127"/>
        <v>0</v>
      </c>
      <c r="K130" s="33">
        <f t="shared" si="127"/>
        <v>200000</v>
      </c>
      <c r="L130" s="33">
        <f t="shared" si="127"/>
        <v>200000</v>
      </c>
      <c r="M130" s="33">
        <f t="shared" si="127"/>
        <v>0</v>
      </c>
      <c r="N130" s="33">
        <f t="shared" si="127"/>
        <v>200000</v>
      </c>
      <c r="O130" s="33">
        <f t="shared" si="127"/>
        <v>0</v>
      </c>
      <c r="P130" s="33">
        <f t="shared" si="127"/>
        <v>200000</v>
      </c>
      <c r="Q130" s="33">
        <f t="shared" si="127"/>
        <v>200000</v>
      </c>
      <c r="R130" s="33">
        <f t="shared" si="127"/>
        <v>0</v>
      </c>
      <c r="S130" s="33">
        <f t="shared" si="127"/>
        <v>200000</v>
      </c>
    </row>
    <row r="131" spans="1:19" s="17" customFormat="1">
      <c r="A131" s="21" t="s">
        <v>40</v>
      </c>
      <c r="B131" s="22" t="s">
        <v>9</v>
      </c>
      <c r="C131" s="22" t="s">
        <v>31</v>
      </c>
      <c r="D131" s="22" t="s">
        <v>93</v>
      </c>
      <c r="E131" s="22" t="s">
        <v>106</v>
      </c>
      <c r="F131" s="22" t="s">
        <v>41</v>
      </c>
      <c r="G131" s="46">
        <v>200000</v>
      </c>
      <c r="H131" s="46">
        <v>0</v>
      </c>
      <c r="I131" s="46">
        <f>G131+H131</f>
        <v>200000</v>
      </c>
      <c r="J131" s="46">
        <v>0</v>
      </c>
      <c r="K131" s="46">
        <f>I131+J131</f>
        <v>200000</v>
      </c>
      <c r="L131" s="46">
        <v>200000</v>
      </c>
      <c r="M131" s="46">
        <v>0</v>
      </c>
      <c r="N131" s="46">
        <f>L131+M131</f>
        <v>200000</v>
      </c>
      <c r="O131" s="46">
        <v>0</v>
      </c>
      <c r="P131" s="46">
        <f>N131+O131</f>
        <v>200000</v>
      </c>
      <c r="Q131" s="46">
        <v>200000</v>
      </c>
      <c r="R131" s="46">
        <v>0</v>
      </c>
      <c r="S131" s="46">
        <f>Q131+R131</f>
        <v>200000</v>
      </c>
    </row>
    <row r="132" spans="1:19" s="17" customFormat="1">
      <c r="A132" s="14" t="s">
        <v>223</v>
      </c>
      <c r="B132" s="15" t="s">
        <v>9</v>
      </c>
      <c r="C132" s="15" t="s">
        <v>107</v>
      </c>
      <c r="D132" s="15" t="s">
        <v>0</v>
      </c>
      <c r="E132" s="15" t="s">
        <v>0</v>
      </c>
      <c r="F132" s="15" t="s">
        <v>0</v>
      </c>
      <c r="G132" s="52">
        <f t="shared" ref="G132:S132" si="128">G133+G144</f>
        <v>25000000</v>
      </c>
      <c r="H132" s="52">
        <f t="shared" si="128"/>
        <v>192525930.44</v>
      </c>
      <c r="I132" s="52">
        <f t="shared" si="128"/>
        <v>217525930.44</v>
      </c>
      <c r="J132" s="52">
        <f>J133+J144</f>
        <v>8757170</v>
      </c>
      <c r="K132" s="52">
        <f t="shared" ref="K132" si="129">K133+K144</f>
        <v>226283100.44</v>
      </c>
      <c r="L132" s="52">
        <f t="shared" si="128"/>
        <v>0</v>
      </c>
      <c r="M132" s="52">
        <f t="shared" si="128"/>
        <v>0</v>
      </c>
      <c r="N132" s="52">
        <f t="shared" si="128"/>
        <v>0</v>
      </c>
      <c r="O132" s="52">
        <f t="shared" ref="O132:P132" si="130">O133+O144</f>
        <v>0</v>
      </c>
      <c r="P132" s="52">
        <f t="shared" si="130"/>
        <v>0</v>
      </c>
      <c r="Q132" s="52">
        <f t="shared" si="128"/>
        <v>0</v>
      </c>
      <c r="R132" s="52">
        <f t="shared" si="128"/>
        <v>0</v>
      </c>
      <c r="S132" s="52">
        <f t="shared" si="128"/>
        <v>0</v>
      </c>
    </row>
    <row r="133" spans="1:19" s="17" customFormat="1">
      <c r="A133" s="14" t="s">
        <v>108</v>
      </c>
      <c r="B133" s="15" t="s">
        <v>9</v>
      </c>
      <c r="C133" s="15" t="s">
        <v>107</v>
      </c>
      <c r="D133" s="15" t="s">
        <v>10</v>
      </c>
      <c r="E133" s="15" t="s">
        <v>0</v>
      </c>
      <c r="F133" s="15" t="s">
        <v>0</v>
      </c>
      <c r="G133" s="52">
        <f t="shared" ref="G133:S134" si="131">G134</f>
        <v>25000000</v>
      </c>
      <c r="H133" s="52">
        <f t="shared" si="131"/>
        <v>178664343.77000001</v>
      </c>
      <c r="I133" s="52">
        <f t="shared" si="131"/>
        <v>203664343.77000001</v>
      </c>
      <c r="J133" s="52">
        <f t="shared" si="131"/>
        <v>116000</v>
      </c>
      <c r="K133" s="52">
        <f t="shared" si="131"/>
        <v>203780343.77000001</v>
      </c>
      <c r="L133" s="52">
        <f t="shared" si="131"/>
        <v>0</v>
      </c>
      <c r="M133" s="52">
        <f t="shared" si="131"/>
        <v>0</v>
      </c>
      <c r="N133" s="52">
        <f t="shared" si="131"/>
        <v>0</v>
      </c>
      <c r="O133" s="52">
        <f t="shared" si="131"/>
        <v>0</v>
      </c>
      <c r="P133" s="52">
        <f t="shared" si="131"/>
        <v>0</v>
      </c>
      <c r="Q133" s="52">
        <f t="shared" si="131"/>
        <v>0</v>
      </c>
      <c r="R133" s="52">
        <f t="shared" si="131"/>
        <v>0</v>
      </c>
      <c r="S133" s="52">
        <f t="shared" si="131"/>
        <v>0</v>
      </c>
    </row>
    <row r="134" spans="1:19" s="17" customFormat="1" ht="25.5">
      <c r="A134" s="14" t="s">
        <v>94</v>
      </c>
      <c r="B134" s="15" t="s">
        <v>9</v>
      </c>
      <c r="C134" s="15" t="s">
        <v>107</v>
      </c>
      <c r="D134" s="15" t="s">
        <v>10</v>
      </c>
      <c r="E134" s="15" t="s">
        <v>95</v>
      </c>
      <c r="F134" s="15" t="s">
        <v>0</v>
      </c>
      <c r="G134" s="52">
        <f t="shared" si="131"/>
        <v>25000000</v>
      </c>
      <c r="H134" s="52">
        <f t="shared" si="131"/>
        <v>178664343.77000001</v>
      </c>
      <c r="I134" s="52">
        <f t="shared" si="131"/>
        <v>203664343.77000001</v>
      </c>
      <c r="J134" s="52">
        <f t="shared" si="131"/>
        <v>116000</v>
      </c>
      <c r="K134" s="52">
        <f t="shared" si="131"/>
        <v>203780343.77000001</v>
      </c>
      <c r="L134" s="52">
        <f t="shared" si="131"/>
        <v>0</v>
      </c>
      <c r="M134" s="52">
        <f t="shared" si="131"/>
        <v>0</v>
      </c>
      <c r="N134" s="52">
        <f t="shared" si="131"/>
        <v>0</v>
      </c>
      <c r="O134" s="52">
        <f t="shared" si="131"/>
        <v>0</v>
      </c>
      <c r="P134" s="52">
        <f t="shared" si="131"/>
        <v>0</v>
      </c>
      <c r="Q134" s="52">
        <f t="shared" si="131"/>
        <v>0</v>
      </c>
      <c r="R134" s="52">
        <f t="shared" si="131"/>
        <v>0</v>
      </c>
      <c r="S134" s="52">
        <f t="shared" si="131"/>
        <v>0</v>
      </c>
    </row>
    <row r="135" spans="1:19" s="17" customFormat="1">
      <c r="A135" s="14" t="s">
        <v>111</v>
      </c>
      <c r="B135" s="15" t="s">
        <v>9</v>
      </c>
      <c r="C135" s="15" t="s">
        <v>107</v>
      </c>
      <c r="D135" s="15" t="s">
        <v>10</v>
      </c>
      <c r="E135" s="15" t="s">
        <v>112</v>
      </c>
      <c r="F135" s="15" t="s">
        <v>0</v>
      </c>
      <c r="G135" s="52">
        <f t="shared" ref="G135:S135" si="132">G136+G140</f>
        <v>25000000</v>
      </c>
      <c r="H135" s="52">
        <f t="shared" si="132"/>
        <v>178664343.77000001</v>
      </c>
      <c r="I135" s="52">
        <f t="shared" si="132"/>
        <v>203664343.77000001</v>
      </c>
      <c r="J135" s="52">
        <f t="shared" ref="J135:K135" si="133">J136+J140</f>
        <v>116000</v>
      </c>
      <c r="K135" s="52">
        <f t="shared" si="133"/>
        <v>203780343.77000001</v>
      </c>
      <c r="L135" s="52">
        <f t="shared" si="132"/>
        <v>0</v>
      </c>
      <c r="M135" s="52">
        <f t="shared" si="132"/>
        <v>0</v>
      </c>
      <c r="N135" s="52">
        <f t="shared" si="132"/>
        <v>0</v>
      </c>
      <c r="O135" s="52">
        <f t="shared" ref="O135:P135" si="134">O136+O140</f>
        <v>0</v>
      </c>
      <c r="P135" s="52">
        <f t="shared" si="134"/>
        <v>0</v>
      </c>
      <c r="Q135" s="52">
        <f t="shared" si="132"/>
        <v>0</v>
      </c>
      <c r="R135" s="52">
        <f t="shared" si="132"/>
        <v>0</v>
      </c>
      <c r="S135" s="52">
        <f t="shared" si="132"/>
        <v>0</v>
      </c>
    </row>
    <row r="136" spans="1:19" s="17" customFormat="1" ht="13.5">
      <c r="A136" s="18" t="s">
        <v>236</v>
      </c>
      <c r="B136" s="19" t="s">
        <v>9</v>
      </c>
      <c r="C136" s="19" t="s">
        <v>107</v>
      </c>
      <c r="D136" s="19" t="s">
        <v>10</v>
      </c>
      <c r="E136" s="19" t="s">
        <v>235</v>
      </c>
      <c r="F136" s="19" t="s">
        <v>0</v>
      </c>
      <c r="G136" s="33">
        <f t="shared" ref="G136:S136" si="135">G137+G138+G139</f>
        <v>25000000</v>
      </c>
      <c r="H136" s="33">
        <f t="shared" si="135"/>
        <v>178664343.77000001</v>
      </c>
      <c r="I136" s="33">
        <f t="shared" si="135"/>
        <v>203664343.77000001</v>
      </c>
      <c r="J136" s="33">
        <f t="shared" ref="J136:K136" si="136">J137+J138+J139</f>
        <v>116000</v>
      </c>
      <c r="K136" s="33">
        <f t="shared" si="136"/>
        <v>203780343.77000001</v>
      </c>
      <c r="L136" s="33">
        <f t="shared" si="135"/>
        <v>0</v>
      </c>
      <c r="M136" s="33">
        <f t="shared" si="135"/>
        <v>0</v>
      </c>
      <c r="N136" s="33">
        <f t="shared" si="135"/>
        <v>0</v>
      </c>
      <c r="O136" s="33">
        <f t="shared" ref="O136:P136" si="137">O137+O138+O139</f>
        <v>0</v>
      </c>
      <c r="P136" s="33">
        <f t="shared" si="137"/>
        <v>0</v>
      </c>
      <c r="Q136" s="33">
        <f t="shared" si="135"/>
        <v>0</v>
      </c>
      <c r="R136" s="33">
        <f t="shared" si="135"/>
        <v>0</v>
      </c>
      <c r="S136" s="33">
        <f t="shared" si="135"/>
        <v>0</v>
      </c>
    </row>
    <row r="137" spans="1:19" s="17" customFormat="1" outlineLevel="1">
      <c r="A137" s="21" t="s">
        <v>21</v>
      </c>
      <c r="B137" s="22" t="s">
        <v>9</v>
      </c>
      <c r="C137" s="22" t="s">
        <v>107</v>
      </c>
      <c r="D137" s="22" t="s">
        <v>10</v>
      </c>
      <c r="E137" s="34" t="s">
        <v>235</v>
      </c>
      <c r="F137" s="22" t="s">
        <v>22</v>
      </c>
      <c r="G137" s="46">
        <v>0</v>
      </c>
      <c r="H137" s="46">
        <v>224500</v>
      </c>
      <c r="I137" s="46">
        <f>G137+H137</f>
        <v>224500</v>
      </c>
      <c r="J137" s="46">
        <v>116000</v>
      </c>
      <c r="K137" s="46">
        <f>I137+J137</f>
        <v>340500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</row>
    <row r="138" spans="1:19" s="17" customFormat="1" ht="18" customHeight="1">
      <c r="A138" s="21" t="s">
        <v>38</v>
      </c>
      <c r="B138" s="22" t="s">
        <v>9</v>
      </c>
      <c r="C138" s="22" t="s">
        <v>107</v>
      </c>
      <c r="D138" s="22" t="s">
        <v>10</v>
      </c>
      <c r="E138" s="34" t="s">
        <v>235</v>
      </c>
      <c r="F138" s="22" t="s">
        <v>39</v>
      </c>
      <c r="G138" s="46">
        <v>25000000</v>
      </c>
      <c r="H138" s="46">
        <v>178439843.77000001</v>
      </c>
      <c r="I138" s="46">
        <f>G138+H138</f>
        <v>203439843.77000001</v>
      </c>
      <c r="J138" s="46">
        <v>0</v>
      </c>
      <c r="K138" s="46">
        <f>I138+J138</f>
        <v>203439843.77000001</v>
      </c>
      <c r="L138" s="46">
        <v>0</v>
      </c>
      <c r="M138" s="46">
        <v>0</v>
      </c>
      <c r="N138" s="46">
        <f>L138+M138</f>
        <v>0</v>
      </c>
      <c r="O138" s="46">
        <v>0</v>
      </c>
      <c r="P138" s="46">
        <f>N138+O138</f>
        <v>0</v>
      </c>
      <c r="Q138" s="46">
        <v>0</v>
      </c>
      <c r="R138" s="46">
        <v>0</v>
      </c>
      <c r="S138" s="46">
        <f>Q138+R138</f>
        <v>0</v>
      </c>
    </row>
    <row r="139" spans="1:19" s="17" customFormat="1" hidden="1" outlineLevel="1">
      <c r="A139" s="21" t="s">
        <v>40</v>
      </c>
      <c r="B139" s="22" t="s">
        <v>9</v>
      </c>
      <c r="C139" s="22" t="s">
        <v>107</v>
      </c>
      <c r="D139" s="22" t="s">
        <v>10</v>
      </c>
      <c r="E139" s="34" t="s">
        <v>235</v>
      </c>
      <c r="F139" s="22" t="s">
        <v>41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</row>
    <row r="140" spans="1:19" s="17" customFormat="1" ht="13.5" hidden="1" outlineLevel="1">
      <c r="A140" s="18" t="s">
        <v>113</v>
      </c>
      <c r="B140" s="19" t="s">
        <v>9</v>
      </c>
      <c r="C140" s="19" t="s">
        <v>107</v>
      </c>
      <c r="D140" s="19" t="s">
        <v>10</v>
      </c>
      <c r="E140" s="19" t="s">
        <v>114</v>
      </c>
      <c r="F140" s="19" t="s">
        <v>0</v>
      </c>
      <c r="G140" s="33">
        <f t="shared" ref="G140:S140" si="138">G141+G142+G143</f>
        <v>0</v>
      </c>
      <c r="H140" s="33">
        <f t="shared" si="138"/>
        <v>0</v>
      </c>
      <c r="I140" s="33">
        <f t="shared" si="138"/>
        <v>0</v>
      </c>
      <c r="J140" s="33">
        <f t="shared" ref="J140:K140" si="139">J141+J142+J143</f>
        <v>0</v>
      </c>
      <c r="K140" s="33">
        <f t="shared" si="139"/>
        <v>0</v>
      </c>
      <c r="L140" s="33">
        <f t="shared" si="138"/>
        <v>0</v>
      </c>
      <c r="M140" s="33">
        <f t="shared" si="138"/>
        <v>0</v>
      </c>
      <c r="N140" s="33">
        <f t="shared" si="138"/>
        <v>0</v>
      </c>
      <c r="O140" s="33">
        <f t="shared" ref="O140:P140" si="140">O141+O142+O143</f>
        <v>0</v>
      </c>
      <c r="P140" s="33">
        <f t="shared" si="140"/>
        <v>0</v>
      </c>
      <c r="Q140" s="33">
        <f t="shared" si="138"/>
        <v>0</v>
      </c>
      <c r="R140" s="33">
        <f t="shared" si="138"/>
        <v>0</v>
      </c>
      <c r="S140" s="33">
        <f t="shared" si="138"/>
        <v>0</v>
      </c>
    </row>
    <row r="141" spans="1:19" s="17" customFormat="1" hidden="1" outlineLevel="1">
      <c r="A141" s="21" t="s">
        <v>21</v>
      </c>
      <c r="B141" s="22" t="s">
        <v>9</v>
      </c>
      <c r="C141" s="22" t="s">
        <v>107</v>
      </c>
      <c r="D141" s="22" t="s">
        <v>10</v>
      </c>
      <c r="E141" s="22" t="s">
        <v>114</v>
      </c>
      <c r="F141" s="22" t="s">
        <v>22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</row>
    <row r="142" spans="1:19" s="17" customFormat="1" hidden="1" outlineLevel="1">
      <c r="A142" s="21" t="s">
        <v>38</v>
      </c>
      <c r="B142" s="22" t="s">
        <v>9</v>
      </c>
      <c r="C142" s="22" t="s">
        <v>107</v>
      </c>
      <c r="D142" s="22" t="s">
        <v>10</v>
      </c>
      <c r="E142" s="22" t="s">
        <v>114</v>
      </c>
      <c r="F142" s="22" t="s">
        <v>39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</row>
    <row r="143" spans="1:19" s="17" customFormat="1" hidden="1" outlineLevel="1">
      <c r="A143" s="21" t="s">
        <v>40</v>
      </c>
      <c r="B143" s="22" t="s">
        <v>9</v>
      </c>
      <c r="C143" s="22" t="s">
        <v>107</v>
      </c>
      <c r="D143" s="22" t="s">
        <v>10</v>
      </c>
      <c r="E143" s="22" t="s">
        <v>114</v>
      </c>
      <c r="F143" s="22" t="s">
        <v>41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</row>
    <row r="144" spans="1:19" s="17" customFormat="1" ht="14.45" customHeight="1" collapsed="1">
      <c r="A144" s="39" t="s">
        <v>193</v>
      </c>
      <c r="B144" s="15" t="s">
        <v>9</v>
      </c>
      <c r="C144" s="15" t="s">
        <v>107</v>
      </c>
      <c r="D144" s="15" t="s">
        <v>12</v>
      </c>
      <c r="E144" s="15" t="s">
        <v>0</v>
      </c>
      <c r="F144" s="15" t="s">
        <v>0</v>
      </c>
      <c r="G144" s="52">
        <f t="shared" ref="G144:S146" si="141">G145</f>
        <v>0</v>
      </c>
      <c r="H144" s="52">
        <f>H145</f>
        <v>13861586.67</v>
      </c>
      <c r="I144" s="52">
        <f t="shared" si="141"/>
        <v>13861586.67</v>
      </c>
      <c r="J144" s="52">
        <f>J145</f>
        <v>8641170</v>
      </c>
      <c r="K144" s="52">
        <f t="shared" si="141"/>
        <v>22502756.670000002</v>
      </c>
      <c r="L144" s="52">
        <f>L145</f>
        <v>0</v>
      </c>
      <c r="M144" s="52">
        <f>M145</f>
        <v>0</v>
      </c>
      <c r="N144" s="52">
        <f t="shared" si="141"/>
        <v>0</v>
      </c>
      <c r="O144" s="52">
        <f>O145</f>
        <v>0</v>
      </c>
      <c r="P144" s="52">
        <f t="shared" si="141"/>
        <v>0</v>
      </c>
      <c r="Q144" s="52">
        <f t="shared" si="141"/>
        <v>0</v>
      </c>
      <c r="R144" s="52">
        <f>R145</f>
        <v>0</v>
      </c>
      <c r="S144" s="52">
        <f t="shared" si="141"/>
        <v>0</v>
      </c>
    </row>
    <row r="145" spans="1:19" s="17" customFormat="1" ht="25.5">
      <c r="A145" s="39" t="s">
        <v>172</v>
      </c>
      <c r="B145" s="15" t="s">
        <v>9</v>
      </c>
      <c r="C145" s="15" t="s">
        <v>107</v>
      </c>
      <c r="D145" s="15" t="s">
        <v>12</v>
      </c>
      <c r="E145" s="15" t="s">
        <v>173</v>
      </c>
      <c r="F145" s="15" t="s">
        <v>0</v>
      </c>
      <c r="G145" s="52">
        <f t="shared" si="141"/>
        <v>0</v>
      </c>
      <c r="H145" s="52">
        <f>H146+H149</f>
        <v>13861586.67</v>
      </c>
      <c r="I145" s="52">
        <f t="shared" ref="I145:S145" si="142">I146+I149</f>
        <v>13861586.67</v>
      </c>
      <c r="J145" s="52">
        <f>J146+J149</f>
        <v>8641170</v>
      </c>
      <c r="K145" s="52">
        <f t="shared" ref="K145" si="143">K146+K149</f>
        <v>22502756.670000002</v>
      </c>
      <c r="L145" s="52">
        <f t="shared" si="142"/>
        <v>0</v>
      </c>
      <c r="M145" s="52">
        <f t="shared" si="142"/>
        <v>0</v>
      </c>
      <c r="N145" s="52">
        <f t="shared" si="142"/>
        <v>0</v>
      </c>
      <c r="O145" s="52">
        <f t="shared" ref="O145:P145" si="144">O146+O149</f>
        <v>0</v>
      </c>
      <c r="P145" s="52">
        <f t="shared" si="144"/>
        <v>0</v>
      </c>
      <c r="Q145" s="52">
        <f t="shared" si="142"/>
        <v>0</v>
      </c>
      <c r="R145" s="52">
        <f t="shared" si="142"/>
        <v>0</v>
      </c>
      <c r="S145" s="52">
        <f t="shared" si="142"/>
        <v>0</v>
      </c>
    </row>
    <row r="146" spans="1:19" s="17" customFormat="1">
      <c r="A146" s="39" t="s">
        <v>174</v>
      </c>
      <c r="B146" s="15" t="s">
        <v>9</v>
      </c>
      <c r="C146" s="15" t="s">
        <v>107</v>
      </c>
      <c r="D146" s="15" t="s">
        <v>12</v>
      </c>
      <c r="E146" s="15" t="s">
        <v>175</v>
      </c>
      <c r="F146" s="15" t="s">
        <v>0</v>
      </c>
      <c r="G146" s="52">
        <f t="shared" si="141"/>
        <v>0</v>
      </c>
      <c r="H146" s="52">
        <f t="shared" si="141"/>
        <v>5361586.67</v>
      </c>
      <c r="I146" s="52">
        <f t="shared" ref="I146:S147" si="145">I147</f>
        <v>5361586.67</v>
      </c>
      <c r="J146" s="52">
        <f t="shared" si="141"/>
        <v>8641170</v>
      </c>
      <c r="K146" s="52">
        <f t="shared" si="145"/>
        <v>14002756.67</v>
      </c>
      <c r="L146" s="52">
        <f t="shared" si="145"/>
        <v>0</v>
      </c>
      <c r="M146" s="52">
        <f t="shared" si="145"/>
        <v>0</v>
      </c>
      <c r="N146" s="52">
        <f t="shared" si="145"/>
        <v>0</v>
      </c>
      <c r="O146" s="52">
        <f t="shared" si="145"/>
        <v>0</v>
      </c>
      <c r="P146" s="52">
        <f t="shared" si="145"/>
        <v>0</v>
      </c>
      <c r="Q146" s="52">
        <f t="shared" si="141"/>
        <v>0</v>
      </c>
      <c r="R146" s="52">
        <f t="shared" si="145"/>
        <v>0</v>
      </c>
      <c r="S146" s="52">
        <f t="shared" si="145"/>
        <v>0</v>
      </c>
    </row>
    <row r="147" spans="1:19" s="17" customFormat="1" ht="28.5" customHeight="1">
      <c r="A147" s="42" t="s">
        <v>284</v>
      </c>
      <c r="B147" s="19" t="s">
        <v>9</v>
      </c>
      <c r="C147" s="19" t="s">
        <v>107</v>
      </c>
      <c r="D147" s="19" t="s">
        <v>12</v>
      </c>
      <c r="E147" s="19" t="s">
        <v>285</v>
      </c>
      <c r="F147" s="19" t="s">
        <v>0</v>
      </c>
      <c r="G147" s="20">
        <f>G148</f>
        <v>0</v>
      </c>
      <c r="H147" s="20">
        <f>H148</f>
        <v>5361586.67</v>
      </c>
      <c r="I147" s="20">
        <f t="shared" si="145"/>
        <v>5361586.67</v>
      </c>
      <c r="J147" s="20">
        <f>J148</f>
        <v>8641170</v>
      </c>
      <c r="K147" s="20">
        <f t="shared" si="145"/>
        <v>14002756.67</v>
      </c>
      <c r="L147" s="20">
        <f t="shared" si="145"/>
        <v>0</v>
      </c>
      <c r="M147" s="20">
        <f t="shared" si="145"/>
        <v>0</v>
      </c>
      <c r="N147" s="20">
        <f t="shared" si="145"/>
        <v>0</v>
      </c>
      <c r="O147" s="20">
        <f t="shared" si="145"/>
        <v>0</v>
      </c>
      <c r="P147" s="20">
        <f t="shared" si="145"/>
        <v>0</v>
      </c>
      <c r="Q147" s="20">
        <f>Q148</f>
        <v>0</v>
      </c>
      <c r="R147" s="20">
        <f t="shared" si="145"/>
        <v>0</v>
      </c>
      <c r="S147" s="20">
        <f t="shared" si="145"/>
        <v>0</v>
      </c>
    </row>
    <row r="148" spans="1:19" s="17" customFormat="1" ht="25.5">
      <c r="A148" s="47" t="s">
        <v>251</v>
      </c>
      <c r="B148" s="48" t="s">
        <v>9</v>
      </c>
      <c r="C148" s="48" t="s">
        <v>107</v>
      </c>
      <c r="D148" s="48" t="s">
        <v>12</v>
      </c>
      <c r="E148" s="48" t="s">
        <v>285</v>
      </c>
      <c r="F148" s="48">
        <v>600</v>
      </c>
      <c r="G148" s="46">
        <v>0</v>
      </c>
      <c r="H148" s="46">
        <v>5361586.67</v>
      </c>
      <c r="I148" s="46">
        <f>G148+H148</f>
        <v>5361586.67</v>
      </c>
      <c r="J148" s="46">
        <v>8641170</v>
      </c>
      <c r="K148" s="46">
        <f>I148+J148</f>
        <v>14002756.67</v>
      </c>
      <c r="L148" s="46">
        <v>0</v>
      </c>
      <c r="M148" s="46">
        <v>0</v>
      </c>
      <c r="N148" s="46">
        <f>L148+M148</f>
        <v>0</v>
      </c>
      <c r="O148" s="46">
        <v>0</v>
      </c>
      <c r="P148" s="46">
        <f>N148+O148</f>
        <v>0</v>
      </c>
      <c r="Q148" s="46">
        <v>0</v>
      </c>
      <c r="R148" s="46">
        <v>0</v>
      </c>
      <c r="S148" s="46">
        <f>Q148+R148</f>
        <v>0</v>
      </c>
    </row>
    <row r="149" spans="1:19" s="17" customFormat="1" ht="13.5">
      <c r="A149" s="18" t="s">
        <v>206</v>
      </c>
      <c r="B149" s="19" t="s">
        <v>9</v>
      </c>
      <c r="C149" s="19" t="s">
        <v>107</v>
      </c>
      <c r="D149" s="19" t="s">
        <v>12</v>
      </c>
      <c r="E149" s="19" t="s">
        <v>207</v>
      </c>
      <c r="F149" s="48"/>
      <c r="G149" s="20">
        <f>G150</f>
        <v>0</v>
      </c>
      <c r="H149" s="20">
        <f>H150</f>
        <v>8500000</v>
      </c>
      <c r="I149" s="20">
        <f t="shared" ref="I149:S149" si="146">I150</f>
        <v>8500000</v>
      </c>
      <c r="J149" s="20">
        <f>J150</f>
        <v>0</v>
      </c>
      <c r="K149" s="20">
        <f t="shared" si="146"/>
        <v>8500000</v>
      </c>
      <c r="L149" s="20">
        <f t="shared" si="146"/>
        <v>0</v>
      </c>
      <c r="M149" s="20">
        <f t="shared" si="146"/>
        <v>0</v>
      </c>
      <c r="N149" s="20">
        <f t="shared" si="146"/>
        <v>0</v>
      </c>
      <c r="O149" s="20">
        <f t="shared" si="146"/>
        <v>0</v>
      </c>
      <c r="P149" s="20">
        <f t="shared" si="146"/>
        <v>0</v>
      </c>
      <c r="Q149" s="20">
        <f t="shared" si="146"/>
        <v>0</v>
      </c>
      <c r="R149" s="20">
        <f t="shared" si="146"/>
        <v>0</v>
      </c>
      <c r="S149" s="20">
        <f t="shared" si="146"/>
        <v>0</v>
      </c>
    </row>
    <row r="150" spans="1:19" s="17" customFormat="1" ht="25.5">
      <c r="A150" s="47" t="s">
        <v>251</v>
      </c>
      <c r="B150" s="48" t="s">
        <v>9</v>
      </c>
      <c r="C150" s="48" t="s">
        <v>107</v>
      </c>
      <c r="D150" s="48" t="s">
        <v>12</v>
      </c>
      <c r="E150" s="48" t="s">
        <v>207</v>
      </c>
      <c r="F150" s="48">
        <v>600</v>
      </c>
      <c r="G150" s="46">
        <v>0</v>
      </c>
      <c r="H150" s="46">
        <v>8500000</v>
      </c>
      <c r="I150" s="46">
        <f>G150+H150</f>
        <v>8500000</v>
      </c>
      <c r="J150" s="46">
        <v>0</v>
      </c>
      <c r="K150" s="46">
        <f>I150+J150</f>
        <v>8500000</v>
      </c>
      <c r="L150" s="46">
        <v>0</v>
      </c>
      <c r="M150" s="46">
        <v>0</v>
      </c>
      <c r="N150" s="46">
        <f>L150+M150</f>
        <v>0</v>
      </c>
      <c r="O150" s="46">
        <v>0</v>
      </c>
      <c r="P150" s="46">
        <f>N150+O150</f>
        <v>0</v>
      </c>
      <c r="Q150" s="46">
        <v>0</v>
      </c>
      <c r="R150" s="46">
        <v>0</v>
      </c>
      <c r="S150" s="46">
        <f>Q150+R150</f>
        <v>0</v>
      </c>
    </row>
    <row r="151" spans="1:19" s="17" customFormat="1" ht="14.45" customHeight="1">
      <c r="A151" s="14" t="s">
        <v>224</v>
      </c>
      <c r="B151" s="15" t="s">
        <v>9</v>
      </c>
      <c r="C151" s="15" t="s">
        <v>214</v>
      </c>
      <c r="D151" s="15" t="s">
        <v>0</v>
      </c>
      <c r="E151" s="15" t="s">
        <v>0</v>
      </c>
      <c r="F151" s="15" t="s">
        <v>0</v>
      </c>
      <c r="G151" s="38">
        <f t="shared" ref="G151:S152" si="147">G152</f>
        <v>3042387.4798254715</v>
      </c>
      <c r="H151" s="38">
        <f t="shared" si="147"/>
        <v>0</v>
      </c>
      <c r="I151" s="38">
        <f t="shared" si="147"/>
        <v>3042387.4798254715</v>
      </c>
      <c r="J151" s="38">
        <f t="shared" si="147"/>
        <v>0</v>
      </c>
      <c r="K151" s="38">
        <f t="shared" si="147"/>
        <v>3042387.4798254715</v>
      </c>
      <c r="L151" s="38">
        <f t="shared" si="147"/>
        <v>3103766.1921753325</v>
      </c>
      <c r="M151" s="38">
        <f t="shared" si="147"/>
        <v>0</v>
      </c>
      <c r="N151" s="38">
        <f t="shared" si="147"/>
        <v>3103766.1921753325</v>
      </c>
      <c r="O151" s="38">
        <f t="shared" si="147"/>
        <v>0</v>
      </c>
      <c r="P151" s="38">
        <f t="shared" si="147"/>
        <v>3103766.1921753325</v>
      </c>
      <c r="Q151" s="38">
        <f t="shared" si="147"/>
        <v>3179879.4776981925</v>
      </c>
      <c r="R151" s="38">
        <f t="shared" si="147"/>
        <v>0</v>
      </c>
      <c r="S151" s="38">
        <f t="shared" si="147"/>
        <v>3179879.4776981925</v>
      </c>
    </row>
    <row r="152" spans="1:19" s="17" customFormat="1">
      <c r="A152" s="14" t="s">
        <v>215</v>
      </c>
      <c r="B152" s="15" t="s">
        <v>9</v>
      </c>
      <c r="C152" s="15" t="s">
        <v>214</v>
      </c>
      <c r="D152" s="15" t="s">
        <v>214</v>
      </c>
      <c r="E152" s="15" t="s">
        <v>0</v>
      </c>
      <c r="F152" s="15" t="s">
        <v>0</v>
      </c>
      <c r="G152" s="38">
        <f t="shared" si="147"/>
        <v>3042387.4798254715</v>
      </c>
      <c r="H152" s="38">
        <f t="shared" si="147"/>
        <v>0</v>
      </c>
      <c r="I152" s="38">
        <f t="shared" si="147"/>
        <v>3042387.4798254715</v>
      </c>
      <c r="J152" s="38">
        <f t="shared" si="147"/>
        <v>0</v>
      </c>
      <c r="K152" s="38">
        <f t="shared" si="147"/>
        <v>3042387.4798254715</v>
      </c>
      <c r="L152" s="38">
        <f t="shared" si="147"/>
        <v>3103766.1921753325</v>
      </c>
      <c r="M152" s="38">
        <f t="shared" si="147"/>
        <v>0</v>
      </c>
      <c r="N152" s="38">
        <f t="shared" si="147"/>
        <v>3103766.1921753325</v>
      </c>
      <c r="O152" s="38">
        <f t="shared" si="147"/>
        <v>0</v>
      </c>
      <c r="P152" s="38">
        <f t="shared" si="147"/>
        <v>3103766.1921753325</v>
      </c>
      <c r="Q152" s="38">
        <f t="shared" si="147"/>
        <v>3179879.4776981925</v>
      </c>
      <c r="R152" s="38">
        <f t="shared" si="147"/>
        <v>0</v>
      </c>
      <c r="S152" s="38">
        <f t="shared" si="147"/>
        <v>3179879.4776981925</v>
      </c>
    </row>
    <row r="153" spans="1:19" s="17" customFormat="1">
      <c r="A153" s="39" t="s">
        <v>210</v>
      </c>
      <c r="B153" s="15" t="s">
        <v>9</v>
      </c>
      <c r="C153" s="40" t="s">
        <v>214</v>
      </c>
      <c r="D153" s="40" t="s">
        <v>214</v>
      </c>
      <c r="E153" s="40" t="s">
        <v>249</v>
      </c>
      <c r="F153" s="40" t="s">
        <v>0</v>
      </c>
      <c r="G153" s="41">
        <f t="shared" ref="G153:S154" si="148">G154</f>
        <v>3042387.4798254715</v>
      </c>
      <c r="H153" s="41">
        <f t="shared" si="148"/>
        <v>0</v>
      </c>
      <c r="I153" s="41">
        <f t="shared" si="148"/>
        <v>3042387.4798254715</v>
      </c>
      <c r="J153" s="41">
        <f t="shared" si="148"/>
        <v>0</v>
      </c>
      <c r="K153" s="41">
        <f t="shared" si="148"/>
        <v>3042387.4798254715</v>
      </c>
      <c r="L153" s="41">
        <f t="shared" si="148"/>
        <v>3103766.1921753325</v>
      </c>
      <c r="M153" s="41">
        <f t="shared" si="148"/>
        <v>0</v>
      </c>
      <c r="N153" s="41">
        <f t="shared" si="148"/>
        <v>3103766.1921753325</v>
      </c>
      <c r="O153" s="41">
        <f t="shared" si="148"/>
        <v>0</v>
      </c>
      <c r="P153" s="41">
        <f t="shared" si="148"/>
        <v>3103766.1921753325</v>
      </c>
      <c r="Q153" s="41">
        <f t="shared" si="148"/>
        <v>3179879.4776981925</v>
      </c>
      <c r="R153" s="41">
        <f t="shared" si="148"/>
        <v>0</v>
      </c>
      <c r="S153" s="41">
        <f t="shared" si="148"/>
        <v>3179879.4776981925</v>
      </c>
    </row>
    <row r="154" spans="1:19" s="17" customFormat="1" ht="27">
      <c r="A154" s="42" t="s">
        <v>124</v>
      </c>
      <c r="B154" s="19" t="s">
        <v>9</v>
      </c>
      <c r="C154" s="43" t="s">
        <v>214</v>
      </c>
      <c r="D154" s="43" t="s">
        <v>214</v>
      </c>
      <c r="E154" s="43" t="s">
        <v>250</v>
      </c>
      <c r="F154" s="43" t="s">
        <v>0</v>
      </c>
      <c r="G154" s="44">
        <f t="shared" si="148"/>
        <v>3042387.4798254715</v>
      </c>
      <c r="H154" s="44">
        <f t="shared" si="148"/>
        <v>0</v>
      </c>
      <c r="I154" s="44">
        <f t="shared" si="148"/>
        <v>3042387.4798254715</v>
      </c>
      <c r="J154" s="44">
        <f t="shared" si="148"/>
        <v>0</v>
      </c>
      <c r="K154" s="44">
        <f t="shared" si="148"/>
        <v>3042387.4798254715</v>
      </c>
      <c r="L154" s="44">
        <f t="shared" si="148"/>
        <v>3103766.1921753325</v>
      </c>
      <c r="M154" s="44">
        <f t="shared" si="148"/>
        <v>0</v>
      </c>
      <c r="N154" s="44">
        <f t="shared" si="148"/>
        <v>3103766.1921753325</v>
      </c>
      <c r="O154" s="44">
        <f t="shared" si="148"/>
        <v>0</v>
      </c>
      <c r="P154" s="44">
        <f t="shared" si="148"/>
        <v>3103766.1921753325</v>
      </c>
      <c r="Q154" s="44">
        <f t="shared" si="148"/>
        <v>3179879.4776981925</v>
      </c>
      <c r="R154" s="44">
        <f t="shared" si="148"/>
        <v>0</v>
      </c>
      <c r="S154" s="44">
        <f t="shared" si="148"/>
        <v>3179879.4776981925</v>
      </c>
    </row>
    <row r="155" spans="1:19" s="17" customFormat="1" ht="25.5">
      <c r="A155" s="47" t="s">
        <v>251</v>
      </c>
      <c r="B155" s="49" t="s">
        <v>9</v>
      </c>
      <c r="C155" s="49" t="s">
        <v>214</v>
      </c>
      <c r="D155" s="49" t="s">
        <v>214</v>
      </c>
      <c r="E155" s="49" t="s">
        <v>250</v>
      </c>
      <c r="F155" s="48">
        <v>600</v>
      </c>
      <c r="G155" s="76">
        <v>3042387.4798254715</v>
      </c>
      <c r="H155" s="76">
        <v>0</v>
      </c>
      <c r="I155" s="76">
        <f>G155+H155</f>
        <v>3042387.4798254715</v>
      </c>
      <c r="J155" s="76">
        <v>0</v>
      </c>
      <c r="K155" s="76">
        <f>I155+J155</f>
        <v>3042387.4798254715</v>
      </c>
      <c r="L155" s="76">
        <v>3103766.1921753325</v>
      </c>
      <c r="M155" s="76">
        <v>0</v>
      </c>
      <c r="N155" s="76">
        <f>L155+M155</f>
        <v>3103766.1921753325</v>
      </c>
      <c r="O155" s="76">
        <v>0</v>
      </c>
      <c r="P155" s="76">
        <f>N155+O155</f>
        <v>3103766.1921753325</v>
      </c>
      <c r="Q155" s="76">
        <v>3179879.4776981925</v>
      </c>
      <c r="R155" s="76">
        <v>0</v>
      </c>
      <c r="S155" s="76">
        <f>Q155+R155</f>
        <v>3179879.4776981925</v>
      </c>
    </row>
    <row r="156" spans="1:19" s="17" customFormat="1">
      <c r="A156" s="39" t="s">
        <v>225</v>
      </c>
      <c r="B156" s="15" t="s">
        <v>9</v>
      </c>
      <c r="C156" s="15" t="s">
        <v>91</v>
      </c>
      <c r="D156" s="15" t="s">
        <v>0</v>
      </c>
      <c r="E156" s="15" t="s">
        <v>0</v>
      </c>
      <c r="F156" s="15" t="s">
        <v>0</v>
      </c>
      <c r="G156" s="38">
        <f t="shared" ref="G156:S157" si="149">G157</f>
        <v>19000830.789999999</v>
      </c>
      <c r="H156" s="38">
        <f t="shared" si="149"/>
        <v>0</v>
      </c>
      <c r="I156" s="38">
        <f t="shared" si="149"/>
        <v>19000830.789999999</v>
      </c>
      <c r="J156" s="38">
        <f t="shared" si="149"/>
        <v>7000000</v>
      </c>
      <c r="K156" s="38">
        <f t="shared" si="149"/>
        <v>26000830.789999999</v>
      </c>
      <c r="L156" s="38">
        <f t="shared" si="149"/>
        <v>20307398.990000002</v>
      </c>
      <c r="M156" s="38">
        <f t="shared" si="149"/>
        <v>0</v>
      </c>
      <c r="N156" s="38">
        <f t="shared" si="149"/>
        <v>20307398.990000002</v>
      </c>
      <c r="O156" s="38">
        <f t="shared" si="149"/>
        <v>0</v>
      </c>
      <c r="P156" s="38">
        <f t="shared" si="149"/>
        <v>20307398.990000002</v>
      </c>
      <c r="Q156" s="38">
        <f t="shared" si="149"/>
        <v>20621524.190000001</v>
      </c>
      <c r="R156" s="38">
        <f t="shared" si="149"/>
        <v>0</v>
      </c>
      <c r="S156" s="38">
        <f t="shared" si="149"/>
        <v>20621524.190000001</v>
      </c>
    </row>
    <row r="157" spans="1:19" s="17" customFormat="1">
      <c r="A157" s="14" t="s">
        <v>216</v>
      </c>
      <c r="B157" s="15" t="s">
        <v>9</v>
      </c>
      <c r="C157" s="15" t="s">
        <v>91</v>
      </c>
      <c r="D157" s="15" t="s">
        <v>31</v>
      </c>
      <c r="E157" s="15" t="s">
        <v>0</v>
      </c>
      <c r="F157" s="15" t="s">
        <v>0</v>
      </c>
      <c r="G157" s="38">
        <f t="shared" si="149"/>
        <v>19000830.789999999</v>
      </c>
      <c r="H157" s="38">
        <f t="shared" si="149"/>
        <v>0</v>
      </c>
      <c r="I157" s="38">
        <f t="shared" si="149"/>
        <v>19000830.789999999</v>
      </c>
      <c r="J157" s="38">
        <f t="shared" si="149"/>
        <v>7000000</v>
      </c>
      <c r="K157" s="38">
        <f t="shared" si="149"/>
        <v>26000830.789999999</v>
      </c>
      <c r="L157" s="38">
        <f t="shared" si="149"/>
        <v>20307398.990000002</v>
      </c>
      <c r="M157" s="38">
        <f t="shared" si="149"/>
        <v>0</v>
      </c>
      <c r="N157" s="38">
        <f t="shared" si="149"/>
        <v>20307398.990000002</v>
      </c>
      <c r="O157" s="38">
        <f t="shared" si="149"/>
        <v>0</v>
      </c>
      <c r="P157" s="38">
        <f t="shared" si="149"/>
        <v>20307398.990000002</v>
      </c>
      <c r="Q157" s="38">
        <f t="shared" si="149"/>
        <v>20621524.190000001</v>
      </c>
      <c r="R157" s="38">
        <f t="shared" si="149"/>
        <v>0</v>
      </c>
      <c r="S157" s="38">
        <f t="shared" si="149"/>
        <v>20621524.190000001</v>
      </c>
    </row>
    <row r="158" spans="1:19" s="17" customFormat="1">
      <c r="A158" s="39" t="s">
        <v>210</v>
      </c>
      <c r="B158" s="15" t="s">
        <v>9</v>
      </c>
      <c r="C158" s="15" t="s">
        <v>91</v>
      </c>
      <c r="D158" s="15" t="s">
        <v>31</v>
      </c>
      <c r="E158" s="40" t="s">
        <v>252</v>
      </c>
      <c r="F158" s="40" t="s">
        <v>0</v>
      </c>
      <c r="G158" s="41">
        <f t="shared" ref="G158:S159" si="150">G159</f>
        <v>19000830.789999999</v>
      </c>
      <c r="H158" s="41">
        <f t="shared" si="150"/>
        <v>0</v>
      </c>
      <c r="I158" s="41">
        <f t="shared" si="150"/>
        <v>19000830.789999999</v>
      </c>
      <c r="J158" s="41">
        <f t="shared" si="150"/>
        <v>7000000</v>
      </c>
      <c r="K158" s="41">
        <f t="shared" si="150"/>
        <v>26000830.789999999</v>
      </c>
      <c r="L158" s="41">
        <f t="shared" si="150"/>
        <v>20307398.990000002</v>
      </c>
      <c r="M158" s="41">
        <f t="shared" si="150"/>
        <v>0</v>
      </c>
      <c r="N158" s="41">
        <f t="shared" si="150"/>
        <v>20307398.990000002</v>
      </c>
      <c r="O158" s="41">
        <f t="shared" si="150"/>
        <v>0</v>
      </c>
      <c r="P158" s="41">
        <f t="shared" si="150"/>
        <v>20307398.990000002</v>
      </c>
      <c r="Q158" s="41">
        <f t="shared" si="150"/>
        <v>20621524.190000001</v>
      </c>
      <c r="R158" s="41">
        <f t="shared" si="150"/>
        <v>0</v>
      </c>
      <c r="S158" s="41">
        <f t="shared" si="150"/>
        <v>20621524.190000001</v>
      </c>
    </row>
    <row r="159" spans="1:19" s="17" customFormat="1" ht="27">
      <c r="A159" s="42" t="s">
        <v>124</v>
      </c>
      <c r="B159" s="19" t="s">
        <v>9</v>
      </c>
      <c r="C159" s="19" t="s">
        <v>91</v>
      </c>
      <c r="D159" s="19" t="s">
        <v>31</v>
      </c>
      <c r="E159" s="43" t="s">
        <v>253</v>
      </c>
      <c r="F159" s="43" t="s">
        <v>0</v>
      </c>
      <c r="G159" s="44">
        <f t="shared" si="150"/>
        <v>19000830.789999999</v>
      </c>
      <c r="H159" s="44">
        <f t="shared" si="150"/>
        <v>0</v>
      </c>
      <c r="I159" s="44">
        <f t="shared" si="150"/>
        <v>19000830.789999999</v>
      </c>
      <c r="J159" s="44">
        <f t="shared" si="150"/>
        <v>7000000</v>
      </c>
      <c r="K159" s="44">
        <f t="shared" si="150"/>
        <v>26000830.789999999</v>
      </c>
      <c r="L159" s="44">
        <f t="shared" si="150"/>
        <v>20307398.990000002</v>
      </c>
      <c r="M159" s="44">
        <f t="shared" si="150"/>
        <v>0</v>
      </c>
      <c r="N159" s="44">
        <f t="shared" si="150"/>
        <v>20307398.990000002</v>
      </c>
      <c r="O159" s="44">
        <f t="shared" si="150"/>
        <v>0</v>
      </c>
      <c r="P159" s="44">
        <f t="shared" si="150"/>
        <v>20307398.990000002</v>
      </c>
      <c r="Q159" s="44">
        <f t="shared" si="150"/>
        <v>20621524.190000001</v>
      </c>
      <c r="R159" s="44">
        <f t="shared" si="150"/>
        <v>0</v>
      </c>
      <c r="S159" s="44">
        <f t="shared" si="150"/>
        <v>20621524.190000001</v>
      </c>
    </row>
    <row r="160" spans="1:19" s="17" customFormat="1" ht="25.5">
      <c r="A160" s="47" t="s">
        <v>251</v>
      </c>
      <c r="B160" s="49" t="s">
        <v>9</v>
      </c>
      <c r="C160" s="49" t="s">
        <v>91</v>
      </c>
      <c r="D160" s="49" t="s">
        <v>31</v>
      </c>
      <c r="E160" s="49" t="s">
        <v>253</v>
      </c>
      <c r="F160" s="48">
        <v>600</v>
      </c>
      <c r="G160" s="76">
        <v>19000830.789999999</v>
      </c>
      <c r="H160" s="76">
        <v>0</v>
      </c>
      <c r="I160" s="76">
        <f>G160+H160</f>
        <v>19000830.789999999</v>
      </c>
      <c r="J160" s="76">
        <f>6000000+1000000</f>
        <v>7000000</v>
      </c>
      <c r="K160" s="76">
        <f>I160+J160</f>
        <v>26000830.789999999</v>
      </c>
      <c r="L160" s="76">
        <v>20307398.990000002</v>
      </c>
      <c r="M160" s="76">
        <v>0</v>
      </c>
      <c r="N160" s="76">
        <f>L160+M160</f>
        <v>20307398.990000002</v>
      </c>
      <c r="O160" s="76">
        <v>0</v>
      </c>
      <c r="P160" s="76">
        <f>N160+O160</f>
        <v>20307398.990000002</v>
      </c>
      <c r="Q160" s="76">
        <v>20621524.190000001</v>
      </c>
      <c r="R160" s="76">
        <v>0</v>
      </c>
      <c r="S160" s="76">
        <f>Q160+R160</f>
        <v>20621524.190000001</v>
      </c>
    </row>
    <row r="161" spans="1:19" s="17" customFormat="1" ht="16.5" customHeight="1">
      <c r="A161" s="14" t="s">
        <v>229</v>
      </c>
      <c r="B161" s="15" t="s">
        <v>9</v>
      </c>
      <c r="C161" s="15" t="s">
        <v>115</v>
      </c>
      <c r="D161" s="15" t="s">
        <v>0</v>
      </c>
      <c r="E161" s="15" t="s">
        <v>0</v>
      </c>
      <c r="F161" s="15" t="s">
        <v>0</v>
      </c>
      <c r="G161" s="16">
        <f t="shared" ref="G161:S161" si="151">G162+G167+G180</f>
        <v>12167209</v>
      </c>
      <c r="H161" s="16">
        <f t="shared" si="151"/>
        <v>2602580</v>
      </c>
      <c r="I161" s="16">
        <f t="shared" si="151"/>
        <v>14769789</v>
      </c>
      <c r="J161" s="16">
        <f t="shared" ref="J161:K161" si="152">J162+J167+J180</f>
        <v>-200000</v>
      </c>
      <c r="K161" s="16">
        <f t="shared" si="152"/>
        <v>14569789</v>
      </c>
      <c r="L161" s="16">
        <f t="shared" si="151"/>
        <v>15640848.699999999</v>
      </c>
      <c r="M161" s="16">
        <f t="shared" si="151"/>
        <v>0</v>
      </c>
      <c r="N161" s="16">
        <f t="shared" si="151"/>
        <v>15640848.699999999</v>
      </c>
      <c r="O161" s="16">
        <f t="shared" ref="O161:P161" si="153">O162+O167+O180</f>
        <v>0</v>
      </c>
      <c r="P161" s="16">
        <f t="shared" si="153"/>
        <v>15640848.699999999</v>
      </c>
      <c r="Q161" s="16">
        <f t="shared" si="151"/>
        <v>15640848.699999999</v>
      </c>
      <c r="R161" s="16">
        <f t="shared" si="151"/>
        <v>0</v>
      </c>
      <c r="S161" s="16">
        <f t="shared" si="151"/>
        <v>15640848.699999999</v>
      </c>
    </row>
    <row r="162" spans="1:19" s="17" customFormat="1">
      <c r="A162" s="14" t="s">
        <v>116</v>
      </c>
      <c r="B162" s="15" t="s">
        <v>9</v>
      </c>
      <c r="C162" s="15" t="s">
        <v>115</v>
      </c>
      <c r="D162" s="15" t="s">
        <v>10</v>
      </c>
      <c r="E162" s="15" t="s">
        <v>0</v>
      </c>
      <c r="F162" s="15" t="s">
        <v>0</v>
      </c>
      <c r="G162" s="16">
        <f t="shared" ref="G162:K165" si="154">G163</f>
        <v>1500000</v>
      </c>
      <c r="H162" s="16">
        <f t="shared" si="154"/>
        <v>0</v>
      </c>
      <c r="I162" s="16">
        <f t="shared" si="154"/>
        <v>1500000</v>
      </c>
      <c r="J162" s="16">
        <f t="shared" si="154"/>
        <v>0</v>
      </c>
      <c r="K162" s="16">
        <f t="shared" si="154"/>
        <v>1500000</v>
      </c>
      <c r="L162" s="16">
        <f t="shared" ref="L162:S165" si="155">L163</f>
        <v>1500000</v>
      </c>
      <c r="M162" s="16">
        <f t="shared" si="155"/>
        <v>0</v>
      </c>
      <c r="N162" s="16">
        <f t="shared" si="155"/>
        <v>1500000</v>
      </c>
      <c r="O162" s="16">
        <f t="shared" si="155"/>
        <v>0</v>
      </c>
      <c r="P162" s="16">
        <f t="shared" si="155"/>
        <v>1500000</v>
      </c>
      <c r="Q162" s="16">
        <f t="shared" si="155"/>
        <v>1500000</v>
      </c>
      <c r="R162" s="16">
        <f t="shared" si="155"/>
        <v>0</v>
      </c>
      <c r="S162" s="16">
        <f t="shared" si="155"/>
        <v>1500000</v>
      </c>
    </row>
    <row r="163" spans="1:19" s="17" customFormat="1">
      <c r="A163" s="14" t="s">
        <v>117</v>
      </c>
      <c r="B163" s="15" t="s">
        <v>9</v>
      </c>
      <c r="C163" s="15" t="s">
        <v>115</v>
      </c>
      <c r="D163" s="15" t="s">
        <v>10</v>
      </c>
      <c r="E163" s="15" t="s">
        <v>118</v>
      </c>
      <c r="F163" s="15" t="s">
        <v>0</v>
      </c>
      <c r="G163" s="16">
        <f t="shared" si="154"/>
        <v>1500000</v>
      </c>
      <c r="H163" s="16">
        <f t="shared" si="154"/>
        <v>0</v>
      </c>
      <c r="I163" s="16">
        <f t="shared" si="154"/>
        <v>1500000</v>
      </c>
      <c r="J163" s="16">
        <f t="shared" si="154"/>
        <v>0</v>
      </c>
      <c r="K163" s="16">
        <f t="shared" si="154"/>
        <v>1500000</v>
      </c>
      <c r="L163" s="16">
        <f t="shared" si="155"/>
        <v>1500000</v>
      </c>
      <c r="M163" s="16">
        <f t="shared" si="155"/>
        <v>0</v>
      </c>
      <c r="N163" s="16">
        <f t="shared" si="155"/>
        <v>1500000</v>
      </c>
      <c r="O163" s="16">
        <f t="shared" si="155"/>
        <v>0</v>
      </c>
      <c r="P163" s="16">
        <f t="shared" si="155"/>
        <v>1500000</v>
      </c>
      <c r="Q163" s="16">
        <f t="shared" si="155"/>
        <v>1500000</v>
      </c>
      <c r="R163" s="16">
        <f t="shared" si="155"/>
        <v>0</v>
      </c>
      <c r="S163" s="16">
        <f t="shared" si="155"/>
        <v>1500000</v>
      </c>
    </row>
    <row r="164" spans="1:19" s="17" customFormat="1">
      <c r="A164" s="14" t="s">
        <v>119</v>
      </c>
      <c r="B164" s="15" t="s">
        <v>9</v>
      </c>
      <c r="C164" s="15" t="s">
        <v>115</v>
      </c>
      <c r="D164" s="15" t="s">
        <v>10</v>
      </c>
      <c r="E164" s="15" t="s">
        <v>120</v>
      </c>
      <c r="F164" s="15" t="s">
        <v>0</v>
      </c>
      <c r="G164" s="16">
        <f t="shared" si="154"/>
        <v>1500000</v>
      </c>
      <c r="H164" s="16">
        <f t="shared" si="154"/>
        <v>0</v>
      </c>
      <c r="I164" s="16">
        <f t="shared" si="154"/>
        <v>1500000</v>
      </c>
      <c r="J164" s="16">
        <f t="shared" si="154"/>
        <v>0</v>
      </c>
      <c r="K164" s="16">
        <f t="shared" si="154"/>
        <v>1500000</v>
      </c>
      <c r="L164" s="16">
        <f t="shared" si="155"/>
        <v>1500000</v>
      </c>
      <c r="M164" s="16">
        <f t="shared" si="155"/>
        <v>0</v>
      </c>
      <c r="N164" s="16">
        <f t="shared" si="155"/>
        <v>1500000</v>
      </c>
      <c r="O164" s="16">
        <f t="shared" si="155"/>
        <v>0</v>
      </c>
      <c r="P164" s="16">
        <f t="shared" si="155"/>
        <v>1500000</v>
      </c>
      <c r="Q164" s="16">
        <f t="shared" si="155"/>
        <v>1500000</v>
      </c>
      <c r="R164" s="16">
        <f t="shared" si="155"/>
        <v>0</v>
      </c>
      <c r="S164" s="16">
        <f t="shared" si="155"/>
        <v>1500000</v>
      </c>
    </row>
    <row r="165" spans="1:19" s="17" customFormat="1" ht="24.75" customHeight="1">
      <c r="A165" s="18" t="s">
        <v>121</v>
      </c>
      <c r="B165" s="19" t="s">
        <v>9</v>
      </c>
      <c r="C165" s="19" t="s">
        <v>115</v>
      </c>
      <c r="D165" s="19" t="s">
        <v>10</v>
      </c>
      <c r="E165" s="19" t="s">
        <v>122</v>
      </c>
      <c r="F165" s="19" t="s">
        <v>0</v>
      </c>
      <c r="G165" s="20">
        <f t="shared" si="154"/>
        <v>1500000</v>
      </c>
      <c r="H165" s="20">
        <f t="shared" si="154"/>
        <v>0</v>
      </c>
      <c r="I165" s="20">
        <f t="shared" si="154"/>
        <v>1500000</v>
      </c>
      <c r="J165" s="20">
        <f t="shared" si="154"/>
        <v>0</v>
      </c>
      <c r="K165" s="20">
        <f t="shared" si="154"/>
        <v>1500000</v>
      </c>
      <c r="L165" s="20">
        <f t="shared" si="155"/>
        <v>1500000</v>
      </c>
      <c r="M165" s="20">
        <f t="shared" si="155"/>
        <v>0</v>
      </c>
      <c r="N165" s="20">
        <f t="shared" si="155"/>
        <v>1500000</v>
      </c>
      <c r="O165" s="20">
        <f t="shared" si="155"/>
        <v>0</v>
      </c>
      <c r="P165" s="20">
        <f t="shared" si="155"/>
        <v>1500000</v>
      </c>
      <c r="Q165" s="20">
        <f>Q166</f>
        <v>1500000</v>
      </c>
      <c r="R165" s="20">
        <f t="shared" si="155"/>
        <v>0</v>
      </c>
      <c r="S165" s="20">
        <f t="shared" si="155"/>
        <v>1500000</v>
      </c>
    </row>
    <row r="166" spans="1:19" s="17" customFormat="1">
      <c r="A166" s="21" t="s">
        <v>72</v>
      </c>
      <c r="B166" s="22" t="s">
        <v>9</v>
      </c>
      <c r="C166" s="22" t="s">
        <v>115</v>
      </c>
      <c r="D166" s="22" t="s">
        <v>10</v>
      </c>
      <c r="E166" s="22" t="s">
        <v>122</v>
      </c>
      <c r="F166" s="22" t="s">
        <v>73</v>
      </c>
      <c r="G166" s="46">
        <v>1500000</v>
      </c>
      <c r="H166" s="46">
        <v>0</v>
      </c>
      <c r="I166" s="46">
        <f>G166+H166</f>
        <v>1500000</v>
      </c>
      <c r="J166" s="46">
        <v>0</v>
      </c>
      <c r="K166" s="46">
        <f>I166+J166</f>
        <v>1500000</v>
      </c>
      <c r="L166" s="46">
        <v>1500000</v>
      </c>
      <c r="M166" s="46">
        <v>0</v>
      </c>
      <c r="N166" s="46">
        <f>L166+M166</f>
        <v>1500000</v>
      </c>
      <c r="O166" s="46">
        <v>0</v>
      </c>
      <c r="P166" s="46">
        <f>N166+O166</f>
        <v>1500000</v>
      </c>
      <c r="Q166" s="46">
        <v>1500000</v>
      </c>
      <c r="R166" s="46">
        <v>0</v>
      </c>
      <c r="S166" s="46">
        <f>Q166+R166</f>
        <v>1500000</v>
      </c>
    </row>
    <row r="167" spans="1:19" s="17" customFormat="1" outlineLevel="1">
      <c r="A167" s="14" t="s">
        <v>123</v>
      </c>
      <c r="B167" s="15" t="s">
        <v>9</v>
      </c>
      <c r="C167" s="15" t="s">
        <v>115</v>
      </c>
      <c r="D167" s="15" t="s">
        <v>12</v>
      </c>
      <c r="E167" s="15" t="s">
        <v>0</v>
      </c>
      <c r="F167" s="15" t="s">
        <v>0</v>
      </c>
      <c r="G167" s="52">
        <f t="shared" ref="G167:S168" si="156">G168</f>
        <v>3180683</v>
      </c>
      <c r="H167" s="52">
        <f t="shared" si="156"/>
        <v>200000</v>
      </c>
      <c r="I167" s="52">
        <f t="shared" si="156"/>
        <v>3380683</v>
      </c>
      <c r="J167" s="52">
        <f t="shared" si="156"/>
        <v>-200000</v>
      </c>
      <c r="K167" s="52">
        <f t="shared" si="156"/>
        <v>3180683</v>
      </c>
      <c r="L167" s="52">
        <f t="shared" si="156"/>
        <v>6429726.7000000002</v>
      </c>
      <c r="M167" s="52">
        <f t="shared" si="156"/>
        <v>0</v>
      </c>
      <c r="N167" s="52">
        <f t="shared" si="156"/>
        <v>6429726.7000000002</v>
      </c>
      <c r="O167" s="52">
        <f t="shared" si="156"/>
        <v>0</v>
      </c>
      <c r="P167" s="52">
        <f t="shared" si="156"/>
        <v>6429726.7000000002</v>
      </c>
      <c r="Q167" s="52">
        <f t="shared" si="156"/>
        <v>6429726.7000000002</v>
      </c>
      <c r="R167" s="52">
        <f t="shared" si="156"/>
        <v>0</v>
      </c>
      <c r="S167" s="52">
        <f t="shared" si="156"/>
        <v>6429726.7000000002</v>
      </c>
    </row>
    <row r="168" spans="1:19" s="17" customFormat="1" ht="25.5" outlineLevel="1">
      <c r="A168" s="14" t="s">
        <v>94</v>
      </c>
      <c r="B168" s="15" t="s">
        <v>9</v>
      </c>
      <c r="C168" s="15" t="s">
        <v>115</v>
      </c>
      <c r="D168" s="15" t="s">
        <v>12</v>
      </c>
      <c r="E168" s="15" t="s">
        <v>95</v>
      </c>
      <c r="F168" s="15" t="s">
        <v>0</v>
      </c>
      <c r="G168" s="52">
        <f t="shared" si="156"/>
        <v>3180683</v>
      </c>
      <c r="H168" s="52">
        <f t="shared" si="156"/>
        <v>200000</v>
      </c>
      <c r="I168" s="52">
        <f t="shared" si="156"/>
        <v>3380683</v>
      </c>
      <c r="J168" s="52">
        <f t="shared" si="156"/>
        <v>-200000</v>
      </c>
      <c r="K168" s="52">
        <f t="shared" si="156"/>
        <v>3180683</v>
      </c>
      <c r="L168" s="52">
        <f t="shared" si="156"/>
        <v>6429726.7000000002</v>
      </c>
      <c r="M168" s="52">
        <f t="shared" si="156"/>
        <v>0</v>
      </c>
      <c r="N168" s="52">
        <f t="shared" si="156"/>
        <v>6429726.7000000002</v>
      </c>
      <c r="O168" s="52">
        <f t="shared" si="156"/>
        <v>0</v>
      </c>
      <c r="P168" s="52">
        <f t="shared" si="156"/>
        <v>6429726.7000000002</v>
      </c>
      <c r="Q168" s="52">
        <f t="shared" si="156"/>
        <v>6429726.7000000002</v>
      </c>
      <c r="R168" s="52">
        <f t="shared" si="156"/>
        <v>0</v>
      </c>
      <c r="S168" s="52">
        <f t="shared" si="156"/>
        <v>6429726.7000000002</v>
      </c>
    </row>
    <row r="169" spans="1:19" s="17" customFormat="1" outlineLevel="1">
      <c r="A169" s="14" t="s">
        <v>111</v>
      </c>
      <c r="B169" s="15" t="s">
        <v>9</v>
      </c>
      <c r="C169" s="15" t="s">
        <v>115</v>
      </c>
      <c r="D169" s="15" t="s">
        <v>12</v>
      </c>
      <c r="E169" s="15" t="s">
        <v>112</v>
      </c>
      <c r="F169" s="15" t="s">
        <v>0</v>
      </c>
      <c r="G169" s="52">
        <f t="shared" ref="G169:S169" si="157">G170+G173+G176+G178</f>
        <v>3180683</v>
      </c>
      <c r="H169" s="52">
        <f t="shared" si="157"/>
        <v>200000</v>
      </c>
      <c r="I169" s="52">
        <f t="shared" si="157"/>
        <v>3380683</v>
      </c>
      <c r="J169" s="52">
        <f t="shared" ref="J169:K169" si="158">J170+J173+J176+J178</f>
        <v>-200000</v>
      </c>
      <c r="K169" s="52">
        <f t="shared" si="158"/>
        <v>3180683</v>
      </c>
      <c r="L169" s="52">
        <f t="shared" si="157"/>
        <v>6429726.7000000002</v>
      </c>
      <c r="M169" s="52">
        <f t="shared" si="157"/>
        <v>0</v>
      </c>
      <c r="N169" s="52">
        <f t="shared" si="157"/>
        <v>6429726.7000000002</v>
      </c>
      <c r="O169" s="52">
        <f t="shared" ref="O169:P169" si="159">O170+O173+O176+O178</f>
        <v>0</v>
      </c>
      <c r="P169" s="52">
        <f t="shared" si="159"/>
        <v>6429726.7000000002</v>
      </c>
      <c r="Q169" s="52">
        <f t="shared" si="157"/>
        <v>6429726.7000000002</v>
      </c>
      <c r="R169" s="52">
        <f t="shared" si="157"/>
        <v>0</v>
      </c>
      <c r="S169" s="52">
        <f t="shared" si="157"/>
        <v>6429726.7000000002</v>
      </c>
    </row>
    <row r="170" spans="1:19" s="17" customFormat="1" ht="13.5" outlineLevel="1">
      <c r="A170" s="18" t="s">
        <v>136</v>
      </c>
      <c r="B170" s="19" t="s">
        <v>9</v>
      </c>
      <c r="C170" s="19" t="s">
        <v>115</v>
      </c>
      <c r="D170" s="19" t="s">
        <v>12</v>
      </c>
      <c r="E170" s="19" t="s">
        <v>137</v>
      </c>
      <c r="F170" s="19" t="s">
        <v>0</v>
      </c>
      <c r="G170" s="33">
        <f t="shared" ref="G170:S170" si="160">G171+G172</f>
        <v>0</v>
      </c>
      <c r="H170" s="33">
        <f t="shared" si="160"/>
        <v>0</v>
      </c>
      <c r="I170" s="33">
        <f t="shared" si="160"/>
        <v>0</v>
      </c>
      <c r="J170" s="33">
        <f t="shared" ref="J170:K170" si="161">J171+J172</f>
        <v>0</v>
      </c>
      <c r="K170" s="33">
        <f t="shared" si="161"/>
        <v>0</v>
      </c>
      <c r="L170" s="33">
        <f t="shared" si="160"/>
        <v>3249043.7</v>
      </c>
      <c r="M170" s="33">
        <f t="shared" si="160"/>
        <v>0</v>
      </c>
      <c r="N170" s="33">
        <f t="shared" si="160"/>
        <v>3249043.7</v>
      </c>
      <c r="O170" s="33">
        <f t="shared" ref="O170:P170" si="162">O171+O172</f>
        <v>0</v>
      </c>
      <c r="P170" s="33">
        <f t="shared" si="162"/>
        <v>3249043.7</v>
      </c>
      <c r="Q170" s="33">
        <f t="shared" si="160"/>
        <v>3249043.7</v>
      </c>
      <c r="R170" s="33">
        <f t="shared" si="160"/>
        <v>0</v>
      </c>
      <c r="S170" s="33">
        <f t="shared" si="160"/>
        <v>3249043.7</v>
      </c>
    </row>
    <row r="171" spans="1:19" s="17" customFormat="1" outlineLevel="1">
      <c r="A171" s="21" t="s">
        <v>72</v>
      </c>
      <c r="B171" s="22" t="s">
        <v>9</v>
      </c>
      <c r="C171" s="22" t="s">
        <v>115</v>
      </c>
      <c r="D171" s="22" t="s">
        <v>12</v>
      </c>
      <c r="E171" s="22" t="s">
        <v>137</v>
      </c>
      <c r="F171" s="22" t="s">
        <v>73</v>
      </c>
      <c r="G171" s="46">
        <v>0</v>
      </c>
      <c r="H171" s="46">
        <v>0</v>
      </c>
      <c r="I171" s="46">
        <f>G171+H171</f>
        <v>0</v>
      </c>
      <c r="J171" s="46">
        <v>0</v>
      </c>
      <c r="K171" s="46">
        <f>I171+J171</f>
        <v>0</v>
      </c>
      <c r="L171" s="46">
        <v>500000</v>
      </c>
      <c r="M171" s="46">
        <v>0</v>
      </c>
      <c r="N171" s="46">
        <f>L171+M171</f>
        <v>500000</v>
      </c>
      <c r="O171" s="46">
        <v>0</v>
      </c>
      <c r="P171" s="46">
        <f>N171+O171</f>
        <v>500000</v>
      </c>
      <c r="Q171" s="46">
        <v>500000</v>
      </c>
      <c r="R171" s="46">
        <v>0</v>
      </c>
      <c r="S171" s="46">
        <f>Q171+R171</f>
        <v>500000</v>
      </c>
    </row>
    <row r="172" spans="1:19" s="17" customFormat="1" ht="13.5" customHeight="1" outlineLevel="1">
      <c r="A172" s="21" t="s">
        <v>38</v>
      </c>
      <c r="B172" s="22" t="s">
        <v>9</v>
      </c>
      <c r="C172" s="22" t="s">
        <v>115</v>
      </c>
      <c r="D172" s="22" t="s">
        <v>12</v>
      </c>
      <c r="E172" s="22" t="s">
        <v>137</v>
      </c>
      <c r="F172" s="22" t="s">
        <v>39</v>
      </c>
      <c r="G172" s="46">
        <v>0</v>
      </c>
      <c r="H172" s="46">
        <v>0</v>
      </c>
      <c r="I172" s="46">
        <f>G172+H172</f>
        <v>0</v>
      </c>
      <c r="J172" s="46">
        <v>0</v>
      </c>
      <c r="K172" s="46">
        <f>I172+J172</f>
        <v>0</v>
      </c>
      <c r="L172" s="46">
        <v>2749043.7</v>
      </c>
      <c r="M172" s="46">
        <v>0</v>
      </c>
      <c r="N172" s="46">
        <f>L172+M172</f>
        <v>2749043.7</v>
      </c>
      <c r="O172" s="46">
        <v>0</v>
      </c>
      <c r="P172" s="46">
        <f>N172+O172</f>
        <v>2749043.7</v>
      </c>
      <c r="Q172" s="46">
        <v>2749043.7</v>
      </c>
      <c r="R172" s="46">
        <v>0</v>
      </c>
      <c r="S172" s="46">
        <f>Q172+R172</f>
        <v>2749043.7</v>
      </c>
    </row>
    <row r="173" spans="1:19" s="17" customFormat="1" ht="27" outlineLevel="2">
      <c r="A173" s="18" t="s">
        <v>138</v>
      </c>
      <c r="B173" s="19" t="s">
        <v>9</v>
      </c>
      <c r="C173" s="19" t="s">
        <v>115</v>
      </c>
      <c r="D173" s="19" t="s">
        <v>12</v>
      </c>
      <c r="E173" s="19" t="s">
        <v>139</v>
      </c>
      <c r="F173" s="19" t="s">
        <v>0</v>
      </c>
      <c r="G173" s="33">
        <f t="shared" ref="G173:S173" si="163">G174+G175</f>
        <v>0</v>
      </c>
      <c r="H173" s="33">
        <f t="shared" si="163"/>
        <v>200000</v>
      </c>
      <c r="I173" s="33">
        <f t="shared" si="163"/>
        <v>200000</v>
      </c>
      <c r="J173" s="33">
        <f t="shared" ref="J173:K173" si="164">J174+J175</f>
        <v>-200000</v>
      </c>
      <c r="K173" s="33">
        <f t="shared" si="164"/>
        <v>0</v>
      </c>
      <c r="L173" s="33">
        <f t="shared" si="163"/>
        <v>0</v>
      </c>
      <c r="M173" s="33">
        <f t="shared" si="163"/>
        <v>0</v>
      </c>
      <c r="N173" s="33">
        <f t="shared" si="163"/>
        <v>0</v>
      </c>
      <c r="O173" s="33">
        <f t="shared" ref="O173:P173" si="165">O174+O175</f>
        <v>0</v>
      </c>
      <c r="P173" s="33">
        <f t="shared" si="165"/>
        <v>0</v>
      </c>
      <c r="Q173" s="33">
        <f t="shared" si="163"/>
        <v>0</v>
      </c>
      <c r="R173" s="33">
        <f t="shared" si="163"/>
        <v>0</v>
      </c>
      <c r="S173" s="33">
        <f t="shared" si="163"/>
        <v>0</v>
      </c>
    </row>
    <row r="174" spans="1:19" s="17" customFormat="1" outlineLevel="2">
      <c r="A174" s="21" t="s">
        <v>21</v>
      </c>
      <c r="B174" s="22" t="s">
        <v>9</v>
      </c>
      <c r="C174" s="22" t="s">
        <v>115</v>
      </c>
      <c r="D174" s="22" t="s">
        <v>12</v>
      </c>
      <c r="E174" s="22" t="s">
        <v>139</v>
      </c>
      <c r="F174" s="22" t="s">
        <v>22</v>
      </c>
      <c r="G174" s="46">
        <v>0</v>
      </c>
      <c r="H174" s="46">
        <v>200000</v>
      </c>
      <c r="I174" s="46">
        <f>G174+H174</f>
        <v>200000</v>
      </c>
      <c r="J174" s="46">
        <f>-116000-84000</f>
        <v>-200000</v>
      </c>
      <c r="K174" s="46">
        <f>I174+J174</f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</row>
    <row r="175" spans="1:19" s="17" customFormat="1" outlineLevel="2">
      <c r="A175" s="21" t="s">
        <v>38</v>
      </c>
      <c r="B175" s="22" t="s">
        <v>9</v>
      </c>
      <c r="C175" s="22" t="s">
        <v>115</v>
      </c>
      <c r="D175" s="22" t="s">
        <v>12</v>
      </c>
      <c r="E175" s="22" t="s">
        <v>139</v>
      </c>
      <c r="F175" s="22" t="s">
        <v>39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</row>
    <row r="176" spans="1:19" s="17" customFormat="1" ht="13.5" outlineLevel="2">
      <c r="A176" s="18" t="s">
        <v>254</v>
      </c>
      <c r="B176" s="19" t="s">
        <v>9</v>
      </c>
      <c r="C176" s="19" t="s">
        <v>115</v>
      </c>
      <c r="D176" s="19" t="s">
        <v>12</v>
      </c>
      <c r="E176" s="19" t="s">
        <v>140</v>
      </c>
      <c r="F176" s="19" t="s">
        <v>0</v>
      </c>
      <c r="G176" s="33">
        <f t="shared" ref="G176:S178" si="166">G177</f>
        <v>0</v>
      </c>
      <c r="H176" s="33">
        <f t="shared" si="166"/>
        <v>0</v>
      </c>
      <c r="I176" s="33">
        <f t="shared" si="166"/>
        <v>0</v>
      </c>
      <c r="J176" s="33">
        <f t="shared" si="166"/>
        <v>0</v>
      </c>
      <c r="K176" s="33">
        <f t="shared" si="166"/>
        <v>0</v>
      </c>
      <c r="L176" s="33">
        <f t="shared" si="166"/>
        <v>0</v>
      </c>
      <c r="M176" s="33">
        <f t="shared" si="166"/>
        <v>0</v>
      </c>
      <c r="N176" s="33">
        <f t="shared" si="166"/>
        <v>0</v>
      </c>
      <c r="O176" s="33">
        <f t="shared" si="166"/>
        <v>0</v>
      </c>
      <c r="P176" s="33">
        <f t="shared" si="166"/>
        <v>0</v>
      </c>
      <c r="Q176" s="33">
        <f t="shared" si="166"/>
        <v>0</v>
      </c>
      <c r="R176" s="33">
        <f t="shared" si="166"/>
        <v>0</v>
      </c>
      <c r="S176" s="33">
        <f t="shared" si="166"/>
        <v>0</v>
      </c>
    </row>
    <row r="177" spans="1:19" s="17" customFormat="1" outlineLevel="2">
      <c r="A177" s="21" t="s">
        <v>86</v>
      </c>
      <c r="B177" s="22" t="s">
        <v>9</v>
      </c>
      <c r="C177" s="22" t="s">
        <v>115</v>
      </c>
      <c r="D177" s="22" t="s">
        <v>12</v>
      </c>
      <c r="E177" s="22" t="s">
        <v>140</v>
      </c>
      <c r="F177" s="22" t="s">
        <v>87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</row>
    <row r="178" spans="1:19" s="17" customFormat="1" ht="14.25" customHeight="1" outlineLevel="1">
      <c r="A178" s="29" t="s">
        <v>254</v>
      </c>
      <c r="B178" s="19" t="s">
        <v>9</v>
      </c>
      <c r="C178" s="19" t="s">
        <v>115</v>
      </c>
      <c r="D178" s="19" t="s">
        <v>12</v>
      </c>
      <c r="E178" s="30" t="s">
        <v>240</v>
      </c>
      <c r="F178" s="19" t="s">
        <v>0</v>
      </c>
      <c r="G178" s="33">
        <f>G179</f>
        <v>3180683</v>
      </c>
      <c r="H178" s="33">
        <f>H179</f>
        <v>0</v>
      </c>
      <c r="I178" s="33">
        <f>I179</f>
        <v>3180683</v>
      </c>
      <c r="J178" s="33">
        <f>J179</f>
        <v>0</v>
      </c>
      <c r="K178" s="33">
        <f>K179</f>
        <v>3180683</v>
      </c>
      <c r="L178" s="33">
        <f t="shared" si="166"/>
        <v>3180683</v>
      </c>
      <c r="M178" s="33">
        <f t="shared" si="166"/>
        <v>0</v>
      </c>
      <c r="N178" s="33">
        <f t="shared" si="166"/>
        <v>3180683</v>
      </c>
      <c r="O178" s="33">
        <f t="shared" si="166"/>
        <v>0</v>
      </c>
      <c r="P178" s="33">
        <f t="shared" si="166"/>
        <v>3180683</v>
      </c>
      <c r="Q178" s="33">
        <f t="shared" si="166"/>
        <v>3180683</v>
      </c>
      <c r="R178" s="33">
        <f t="shared" si="166"/>
        <v>0</v>
      </c>
      <c r="S178" s="33">
        <f t="shared" si="166"/>
        <v>3180683</v>
      </c>
    </row>
    <row r="179" spans="1:19" s="17" customFormat="1" outlineLevel="1">
      <c r="A179" s="21" t="s">
        <v>86</v>
      </c>
      <c r="B179" s="22" t="s">
        <v>9</v>
      </c>
      <c r="C179" s="22" t="s">
        <v>115</v>
      </c>
      <c r="D179" s="22" t="s">
        <v>12</v>
      </c>
      <c r="E179" s="22" t="s">
        <v>240</v>
      </c>
      <c r="F179" s="22" t="s">
        <v>87</v>
      </c>
      <c r="G179" s="46">
        <v>3180683</v>
      </c>
      <c r="H179" s="46">
        <v>0</v>
      </c>
      <c r="I179" s="46">
        <f>G179+H179</f>
        <v>3180683</v>
      </c>
      <c r="J179" s="46">
        <v>0</v>
      </c>
      <c r="K179" s="46">
        <f>I179+J179</f>
        <v>3180683</v>
      </c>
      <c r="L179" s="46">
        <v>3180683</v>
      </c>
      <c r="M179" s="46">
        <v>0</v>
      </c>
      <c r="N179" s="46">
        <f>L179+M179</f>
        <v>3180683</v>
      </c>
      <c r="O179" s="46">
        <v>0</v>
      </c>
      <c r="P179" s="46">
        <f>N179+O179</f>
        <v>3180683</v>
      </c>
      <c r="Q179" s="46">
        <v>3180683</v>
      </c>
      <c r="R179" s="46">
        <v>0</v>
      </c>
      <c r="S179" s="46">
        <f>Q179+R179</f>
        <v>3180683</v>
      </c>
    </row>
    <row r="180" spans="1:19" s="17" customFormat="1">
      <c r="A180" s="14" t="s">
        <v>220</v>
      </c>
      <c r="B180" s="15" t="s">
        <v>9</v>
      </c>
      <c r="C180" s="15" t="s">
        <v>115</v>
      </c>
      <c r="D180" s="15" t="s">
        <v>153</v>
      </c>
      <c r="E180" s="15" t="s">
        <v>0</v>
      </c>
      <c r="F180" s="15" t="s">
        <v>0</v>
      </c>
      <c r="G180" s="52">
        <f t="shared" ref="G180:S180" si="167">G181</f>
        <v>7486526</v>
      </c>
      <c r="H180" s="52">
        <f t="shared" si="167"/>
        <v>2402580</v>
      </c>
      <c r="I180" s="52">
        <f t="shared" si="167"/>
        <v>9889106</v>
      </c>
      <c r="J180" s="52">
        <f t="shared" si="167"/>
        <v>0</v>
      </c>
      <c r="K180" s="52">
        <f t="shared" si="167"/>
        <v>9889106</v>
      </c>
      <c r="L180" s="52">
        <f t="shared" si="167"/>
        <v>7711122</v>
      </c>
      <c r="M180" s="52">
        <f t="shared" si="167"/>
        <v>0</v>
      </c>
      <c r="N180" s="52">
        <f t="shared" si="167"/>
        <v>7711122</v>
      </c>
      <c r="O180" s="52">
        <f t="shared" si="167"/>
        <v>0</v>
      </c>
      <c r="P180" s="52">
        <f t="shared" si="167"/>
        <v>7711122</v>
      </c>
      <c r="Q180" s="52">
        <f t="shared" si="167"/>
        <v>7711122</v>
      </c>
      <c r="R180" s="52">
        <f t="shared" si="167"/>
        <v>0</v>
      </c>
      <c r="S180" s="52">
        <f t="shared" si="167"/>
        <v>7711122</v>
      </c>
    </row>
    <row r="181" spans="1:19" s="17" customFormat="1">
      <c r="A181" s="14" t="s">
        <v>117</v>
      </c>
      <c r="B181" s="15" t="s">
        <v>9</v>
      </c>
      <c r="C181" s="15" t="s">
        <v>115</v>
      </c>
      <c r="D181" s="15" t="s">
        <v>153</v>
      </c>
      <c r="E181" s="15" t="s">
        <v>118</v>
      </c>
      <c r="F181" s="15" t="s">
        <v>0</v>
      </c>
      <c r="G181" s="52">
        <f t="shared" ref="G181:S181" si="168">G182+G184+G186</f>
        <v>7486526</v>
      </c>
      <c r="H181" s="52">
        <f t="shared" si="168"/>
        <v>2402580</v>
      </c>
      <c r="I181" s="52">
        <f t="shared" si="168"/>
        <v>9889106</v>
      </c>
      <c r="J181" s="52">
        <f t="shared" ref="J181:K181" si="169">J182+J184+J186</f>
        <v>0</v>
      </c>
      <c r="K181" s="52">
        <f t="shared" si="169"/>
        <v>9889106</v>
      </c>
      <c r="L181" s="52">
        <f t="shared" si="168"/>
        <v>7711122</v>
      </c>
      <c r="M181" s="52">
        <f t="shared" si="168"/>
        <v>0</v>
      </c>
      <c r="N181" s="52">
        <f t="shared" si="168"/>
        <v>7711122</v>
      </c>
      <c r="O181" s="52">
        <f t="shared" ref="O181:P181" si="170">O182+O184+O186</f>
        <v>0</v>
      </c>
      <c r="P181" s="52">
        <f t="shared" si="170"/>
        <v>7711122</v>
      </c>
      <c r="Q181" s="52">
        <f t="shared" si="168"/>
        <v>7711122</v>
      </c>
      <c r="R181" s="52">
        <f t="shared" si="168"/>
        <v>0</v>
      </c>
      <c r="S181" s="52">
        <f t="shared" si="168"/>
        <v>7711122</v>
      </c>
    </row>
    <row r="182" spans="1:19" s="17" customFormat="1" ht="27">
      <c r="A182" s="18" t="s">
        <v>124</v>
      </c>
      <c r="B182" s="19" t="s">
        <v>9</v>
      </c>
      <c r="C182" s="19" t="s">
        <v>115</v>
      </c>
      <c r="D182" s="19" t="s">
        <v>153</v>
      </c>
      <c r="E182" s="19" t="s">
        <v>125</v>
      </c>
      <c r="F182" s="19" t="s">
        <v>0</v>
      </c>
      <c r="G182" s="33">
        <f t="shared" ref="G182:S182" si="171">G183</f>
        <v>350000</v>
      </c>
      <c r="H182" s="33">
        <f t="shared" si="171"/>
        <v>0</v>
      </c>
      <c r="I182" s="33">
        <f t="shared" si="171"/>
        <v>350000</v>
      </c>
      <c r="J182" s="33">
        <f t="shared" si="171"/>
        <v>0</v>
      </c>
      <c r="K182" s="33">
        <f t="shared" si="171"/>
        <v>350000</v>
      </c>
      <c r="L182" s="33">
        <f t="shared" si="171"/>
        <v>362000</v>
      </c>
      <c r="M182" s="33">
        <f t="shared" si="171"/>
        <v>0</v>
      </c>
      <c r="N182" s="33">
        <f t="shared" si="171"/>
        <v>362000</v>
      </c>
      <c r="O182" s="33">
        <f t="shared" si="171"/>
        <v>0</v>
      </c>
      <c r="P182" s="33">
        <f t="shared" si="171"/>
        <v>362000</v>
      </c>
      <c r="Q182" s="33">
        <f t="shared" si="171"/>
        <v>362000</v>
      </c>
      <c r="R182" s="33">
        <f t="shared" si="171"/>
        <v>0</v>
      </c>
      <c r="S182" s="33">
        <f t="shared" si="171"/>
        <v>362000</v>
      </c>
    </row>
    <row r="183" spans="1:19" s="17" customFormat="1">
      <c r="A183" s="21" t="s">
        <v>21</v>
      </c>
      <c r="B183" s="22" t="s">
        <v>9</v>
      </c>
      <c r="C183" s="22" t="s">
        <v>115</v>
      </c>
      <c r="D183" s="22" t="s">
        <v>153</v>
      </c>
      <c r="E183" s="22" t="s">
        <v>125</v>
      </c>
      <c r="F183" s="22" t="s">
        <v>22</v>
      </c>
      <c r="G183" s="46">
        <v>350000</v>
      </c>
      <c r="H183" s="46">
        <v>0</v>
      </c>
      <c r="I183" s="46">
        <f>G183+H183</f>
        <v>350000</v>
      </c>
      <c r="J183" s="46">
        <v>0</v>
      </c>
      <c r="K183" s="46">
        <f>I183+J183</f>
        <v>350000</v>
      </c>
      <c r="L183" s="46">
        <v>362000</v>
      </c>
      <c r="M183" s="46">
        <v>0</v>
      </c>
      <c r="N183" s="46">
        <f>L183+M183</f>
        <v>362000</v>
      </c>
      <c r="O183" s="46">
        <v>0</v>
      </c>
      <c r="P183" s="46">
        <f>N183+O183</f>
        <v>362000</v>
      </c>
      <c r="Q183" s="46">
        <v>362000</v>
      </c>
      <c r="R183" s="46">
        <v>0</v>
      </c>
      <c r="S183" s="46">
        <f>Q183+R183</f>
        <v>362000</v>
      </c>
    </row>
    <row r="184" spans="1:19" s="17" customFormat="1" ht="13.5">
      <c r="A184" s="18" t="s">
        <v>126</v>
      </c>
      <c r="B184" s="19" t="s">
        <v>9</v>
      </c>
      <c r="C184" s="19" t="s">
        <v>115</v>
      </c>
      <c r="D184" s="19" t="s">
        <v>153</v>
      </c>
      <c r="E184" s="19" t="s">
        <v>127</v>
      </c>
      <c r="F184" s="19" t="s">
        <v>0</v>
      </c>
      <c r="G184" s="33">
        <f t="shared" ref="G184:S184" si="172">G185</f>
        <v>2000000</v>
      </c>
      <c r="H184" s="33">
        <f t="shared" si="172"/>
        <v>0</v>
      </c>
      <c r="I184" s="33">
        <f t="shared" si="172"/>
        <v>2000000</v>
      </c>
      <c r="J184" s="33">
        <f t="shared" si="172"/>
        <v>-39520.160000000003</v>
      </c>
      <c r="K184" s="33">
        <f t="shared" si="172"/>
        <v>1960479.84</v>
      </c>
      <c r="L184" s="33">
        <f t="shared" si="172"/>
        <v>2000000</v>
      </c>
      <c r="M184" s="33">
        <f t="shared" si="172"/>
        <v>0</v>
      </c>
      <c r="N184" s="33">
        <f t="shared" si="172"/>
        <v>2000000</v>
      </c>
      <c r="O184" s="33">
        <f t="shared" si="172"/>
        <v>0</v>
      </c>
      <c r="P184" s="33">
        <f t="shared" si="172"/>
        <v>2000000</v>
      </c>
      <c r="Q184" s="33">
        <f t="shared" si="172"/>
        <v>2000000</v>
      </c>
      <c r="R184" s="33">
        <f t="shared" si="172"/>
        <v>0</v>
      </c>
      <c r="S184" s="33">
        <f t="shared" si="172"/>
        <v>2000000</v>
      </c>
    </row>
    <row r="185" spans="1:19" s="17" customFormat="1">
      <c r="A185" s="21" t="s">
        <v>128</v>
      </c>
      <c r="B185" s="22" t="s">
        <v>9</v>
      </c>
      <c r="C185" s="22" t="s">
        <v>115</v>
      </c>
      <c r="D185" s="22" t="s">
        <v>153</v>
      </c>
      <c r="E185" s="22" t="s">
        <v>127</v>
      </c>
      <c r="F185" s="22" t="s">
        <v>129</v>
      </c>
      <c r="G185" s="46">
        <v>2000000</v>
      </c>
      <c r="H185" s="46">
        <v>0</v>
      </c>
      <c r="I185" s="46">
        <f>G185+H185</f>
        <v>2000000</v>
      </c>
      <c r="J185" s="46">
        <v>-39520.160000000003</v>
      </c>
      <c r="K185" s="46">
        <f>I185+J185</f>
        <v>1960479.84</v>
      </c>
      <c r="L185" s="46">
        <v>2000000</v>
      </c>
      <c r="M185" s="46">
        <v>0</v>
      </c>
      <c r="N185" s="46">
        <f>L185+M185</f>
        <v>2000000</v>
      </c>
      <c r="O185" s="46">
        <v>0</v>
      </c>
      <c r="P185" s="46">
        <f>N185+O185</f>
        <v>2000000</v>
      </c>
      <c r="Q185" s="46">
        <v>2000000</v>
      </c>
      <c r="R185" s="46">
        <v>0</v>
      </c>
      <c r="S185" s="46">
        <f>Q185+R185</f>
        <v>2000000</v>
      </c>
    </row>
    <row r="186" spans="1:19" s="17" customFormat="1">
      <c r="A186" s="14" t="s">
        <v>119</v>
      </c>
      <c r="B186" s="15" t="s">
        <v>9</v>
      </c>
      <c r="C186" s="15" t="s">
        <v>115</v>
      </c>
      <c r="D186" s="15" t="s">
        <v>153</v>
      </c>
      <c r="E186" s="15" t="s">
        <v>120</v>
      </c>
      <c r="F186" s="15" t="s">
        <v>0</v>
      </c>
      <c r="G186" s="52">
        <f t="shared" ref="G186:S186" si="173">G187+G190+G193</f>
        <v>5136526</v>
      </c>
      <c r="H186" s="52">
        <f t="shared" si="173"/>
        <v>2402580</v>
      </c>
      <c r="I186" s="52">
        <f t="shared" si="173"/>
        <v>7539106</v>
      </c>
      <c r="J186" s="52">
        <f t="shared" ref="J186:K186" si="174">J187+J190+J193</f>
        <v>39520.160000000003</v>
      </c>
      <c r="K186" s="52">
        <f t="shared" si="174"/>
        <v>7578626.1600000001</v>
      </c>
      <c r="L186" s="52">
        <f t="shared" si="173"/>
        <v>5349122</v>
      </c>
      <c r="M186" s="52">
        <f t="shared" si="173"/>
        <v>0</v>
      </c>
      <c r="N186" s="52">
        <f t="shared" si="173"/>
        <v>5349122</v>
      </c>
      <c r="O186" s="52">
        <f t="shared" ref="O186:P186" si="175">O187+O190+O193</f>
        <v>0</v>
      </c>
      <c r="P186" s="52">
        <f t="shared" si="175"/>
        <v>5349122</v>
      </c>
      <c r="Q186" s="52">
        <f t="shared" si="173"/>
        <v>5349122</v>
      </c>
      <c r="R186" s="52">
        <f t="shared" si="173"/>
        <v>0</v>
      </c>
      <c r="S186" s="52">
        <f t="shared" si="173"/>
        <v>5349122</v>
      </c>
    </row>
    <row r="187" spans="1:19" s="17" customFormat="1" ht="27">
      <c r="A187" s="18" t="s">
        <v>130</v>
      </c>
      <c r="B187" s="19" t="s">
        <v>9</v>
      </c>
      <c r="C187" s="19" t="s">
        <v>115</v>
      </c>
      <c r="D187" s="19" t="s">
        <v>153</v>
      </c>
      <c r="E187" s="19" t="s">
        <v>131</v>
      </c>
      <c r="F187" s="19" t="s">
        <v>0</v>
      </c>
      <c r="G187" s="33">
        <f t="shared" ref="G187:S187" si="176">G188+G189</f>
        <v>375000</v>
      </c>
      <c r="H187" s="33">
        <f t="shared" si="176"/>
        <v>1472580</v>
      </c>
      <c r="I187" s="33">
        <f t="shared" si="176"/>
        <v>1847580</v>
      </c>
      <c r="J187" s="33">
        <f t="shared" ref="J187:K187" si="177">J188+J189</f>
        <v>0</v>
      </c>
      <c r="K187" s="33">
        <f t="shared" si="177"/>
        <v>1847580</v>
      </c>
      <c r="L187" s="33">
        <f t="shared" si="176"/>
        <v>375000</v>
      </c>
      <c r="M187" s="33">
        <f t="shared" si="176"/>
        <v>0</v>
      </c>
      <c r="N187" s="33">
        <f t="shared" si="176"/>
        <v>375000</v>
      </c>
      <c r="O187" s="33">
        <f t="shared" ref="O187:P187" si="178">O188+O189</f>
        <v>0</v>
      </c>
      <c r="P187" s="33">
        <f t="shared" si="178"/>
        <v>375000</v>
      </c>
      <c r="Q187" s="33">
        <f t="shared" si="176"/>
        <v>375000</v>
      </c>
      <c r="R187" s="33">
        <f t="shared" si="176"/>
        <v>0</v>
      </c>
      <c r="S187" s="33">
        <f t="shared" si="176"/>
        <v>375000</v>
      </c>
    </row>
    <row r="188" spans="1:19" s="17" customFormat="1">
      <c r="A188" s="21" t="s">
        <v>21</v>
      </c>
      <c r="B188" s="22" t="s">
        <v>9</v>
      </c>
      <c r="C188" s="22" t="s">
        <v>115</v>
      </c>
      <c r="D188" s="22" t="s">
        <v>153</v>
      </c>
      <c r="E188" s="22" t="s">
        <v>131</v>
      </c>
      <c r="F188" s="22" t="s">
        <v>22</v>
      </c>
      <c r="G188" s="46">
        <v>375000</v>
      </c>
      <c r="H188" s="46">
        <v>0</v>
      </c>
      <c r="I188" s="46">
        <f>G188+H188</f>
        <v>375000</v>
      </c>
      <c r="J188" s="46">
        <v>0</v>
      </c>
      <c r="K188" s="46">
        <f>I188+J188</f>
        <v>375000</v>
      </c>
      <c r="L188" s="46">
        <v>375000</v>
      </c>
      <c r="M188" s="46">
        <v>0</v>
      </c>
      <c r="N188" s="46">
        <f>L188+M188</f>
        <v>375000</v>
      </c>
      <c r="O188" s="46">
        <v>0</v>
      </c>
      <c r="P188" s="46">
        <f>N188+O188</f>
        <v>375000</v>
      </c>
      <c r="Q188" s="46">
        <v>375000</v>
      </c>
      <c r="R188" s="46">
        <v>0</v>
      </c>
      <c r="S188" s="46">
        <f>Q188+R188</f>
        <v>375000</v>
      </c>
    </row>
    <row r="189" spans="1:19" s="17" customFormat="1" outlineLevel="1">
      <c r="A189" s="21" t="s">
        <v>72</v>
      </c>
      <c r="B189" s="22" t="s">
        <v>9</v>
      </c>
      <c r="C189" s="22" t="s">
        <v>115</v>
      </c>
      <c r="D189" s="22" t="s">
        <v>153</v>
      </c>
      <c r="E189" s="22" t="s">
        <v>131</v>
      </c>
      <c r="F189" s="22" t="s">
        <v>73</v>
      </c>
      <c r="G189" s="46">
        <v>0</v>
      </c>
      <c r="H189" s="46">
        <v>1472580</v>
      </c>
      <c r="I189" s="46">
        <f>G189+H189</f>
        <v>1472580</v>
      </c>
      <c r="J189" s="46">
        <v>0</v>
      </c>
      <c r="K189" s="46">
        <f>I189+J189</f>
        <v>1472580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</row>
    <row r="190" spans="1:19" s="17" customFormat="1" ht="13.5">
      <c r="A190" s="18" t="s">
        <v>132</v>
      </c>
      <c r="B190" s="19" t="s">
        <v>9</v>
      </c>
      <c r="C190" s="19" t="s">
        <v>115</v>
      </c>
      <c r="D190" s="19" t="s">
        <v>153</v>
      </c>
      <c r="E190" s="19" t="s">
        <v>133</v>
      </c>
      <c r="F190" s="19" t="s">
        <v>0</v>
      </c>
      <c r="G190" s="33">
        <f t="shared" ref="G190:S190" si="179">G191+G192</f>
        <v>1069900</v>
      </c>
      <c r="H190" s="33">
        <f t="shared" si="179"/>
        <v>0</v>
      </c>
      <c r="I190" s="33">
        <f t="shared" si="179"/>
        <v>1069900</v>
      </c>
      <c r="J190" s="33">
        <f t="shared" ref="J190:K190" si="180">J191+J192</f>
        <v>-199800</v>
      </c>
      <c r="K190" s="33">
        <f t="shared" si="180"/>
        <v>870100</v>
      </c>
      <c r="L190" s="33">
        <f t="shared" si="179"/>
        <v>1069900</v>
      </c>
      <c r="M190" s="33">
        <f t="shared" si="179"/>
        <v>0</v>
      </c>
      <c r="N190" s="33">
        <f t="shared" si="179"/>
        <v>1069900</v>
      </c>
      <c r="O190" s="33">
        <f t="shared" ref="O190:P190" si="181">O191+O192</f>
        <v>0</v>
      </c>
      <c r="P190" s="33">
        <f t="shared" si="181"/>
        <v>1069900</v>
      </c>
      <c r="Q190" s="33">
        <f t="shared" si="179"/>
        <v>1069900</v>
      </c>
      <c r="R190" s="33">
        <f t="shared" si="179"/>
        <v>0</v>
      </c>
      <c r="S190" s="33">
        <f t="shared" si="179"/>
        <v>1069900</v>
      </c>
    </row>
    <row r="191" spans="1:19" s="17" customFormat="1">
      <c r="A191" s="21" t="s">
        <v>21</v>
      </c>
      <c r="B191" s="22" t="s">
        <v>9</v>
      </c>
      <c r="C191" s="22" t="s">
        <v>115</v>
      </c>
      <c r="D191" s="22" t="s">
        <v>153</v>
      </c>
      <c r="E191" s="22" t="s">
        <v>133</v>
      </c>
      <c r="F191" s="22" t="s">
        <v>22</v>
      </c>
      <c r="G191" s="46">
        <v>174900</v>
      </c>
      <c r="H191" s="46">
        <v>0</v>
      </c>
      <c r="I191" s="46">
        <f>G191+H191</f>
        <v>174900</v>
      </c>
      <c r="J191" s="46">
        <f>-15000-4800</f>
        <v>-19800</v>
      </c>
      <c r="K191" s="46">
        <f>I191+J191</f>
        <v>155100</v>
      </c>
      <c r="L191" s="46">
        <v>174900</v>
      </c>
      <c r="M191" s="46">
        <v>0</v>
      </c>
      <c r="N191" s="46">
        <f>L191+M191</f>
        <v>174900</v>
      </c>
      <c r="O191" s="46">
        <v>0</v>
      </c>
      <c r="P191" s="46">
        <f>N191+O191</f>
        <v>174900</v>
      </c>
      <c r="Q191" s="46">
        <v>174900</v>
      </c>
      <c r="R191" s="46">
        <v>0</v>
      </c>
      <c r="S191" s="46">
        <f>Q191+R191</f>
        <v>174900</v>
      </c>
    </row>
    <row r="192" spans="1:19" s="17" customFormat="1">
      <c r="A192" s="21" t="s">
        <v>72</v>
      </c>
      <c r="B192" s="22" t="s">
        <v>9</v>
      </c>
      <c r="C192" s="22" t="s">
        <v>115</v>
      </c>
      <c r="D192" s="22" t="s">
        <v>153</v>
      </c>
      <c r="E192" s="22" t="s">
        <v>133</v>
      </c>
      <c r="F192" s="22" t="s">
        <v>73</v>
      </c>
      <c r="G192" s="46">
        <v>895000</v>
      </c>
      <c r="H192" s="46">
        <v>0</v>
      </c>
      <c r="I192" s="46">
        <f>G192+H192</f>
        <v>895000</v>
      </c>
      <c r="J192" s="46">
        <v>-180000</v>
      </c>
      <c r="K192" s="46">
        <f>I192+J192</f>
        <v>715000</v>
      </c>
      <c r="L192" s="46">
        <v>895000</v>
      </c>
      <c r="M192" s="46">
        <v>0</v>
      </c>
      <c r="N192" s="46">
        <f>L192+M192</f>
        <v>895000</v>
      </c>
      <c r="O192" s="46">
        <v>0</v>
      </c>
      <c r="P192" s="46">
        <f>N192+O192</f>
        <v>895000</v>
      </c>
      <c r="Q192" s="46">
        <v>895000</v>
      </c>
      <c r="R192" s="46">
        <v>0</v>
      </c>
      <c r="S192" s="46">
        <f>Q192+R192</f>
        <v>895000</v>
      </c>
    </row>
    <row r="193" spans="1:19" s="17" customFormat="1" ht="26.25" customHeight="1">
      <c r="A193" s="18" t="s">
        <v>134</v>
      </c>
      <c r="B193" s="19" t="s">
        <v>9</v>
      </c>
      <c r="C193" s="19" t="s">
        <v>115</v>
      </c>
      <c r="D193" s="19" t="s">
        <v>153</v>
      </c>
      <c r="E193" s="19" t="s">
        <v>135</v>
      </c>
      <c r="F193" s="19" t="s">
        <v>0</v>
      </c>
      <c r="G193" s="33">
        <f>G194+G195+G196</f>
        <v>3691626</v>
      </c>
      <c r="H193" s="33">
        <f t="shared" ref="H193:S193" si="182">H194+H195+H196</f>
        <v>930000</v>
      </c>
      <c r="I193" s="33">
        <f t="shared" si="182"/>
        <v>4621626</v>
      </c>
      <c r="J193" s="33">
        <f t="shared" ref="J193:K193" si="183">J194+J195+J196</f>
        <v>239320.16</v>
      </c>
      <c r="K193" s="33">
        <f t="shared" si="183"/>
        <v>4860946.16</v>
      </c>
      <c r="L193" s="33">
        <f t="shared" si="182"/>
        <v>3904222</v>
      </c>
      <c r="M193" s="33">
        <f t="shared" si="182"/>
        <v>0</v>
      </c>
      <c r="N193" s="33">
        <f t="shared" si="182"/>
        <v>3904222</v>
      </c>
      <c r="O193" s="33">
        <f t="shared" ref="O193:P193" si="184">O194+O195+O196</f>
        <v>0</v>
      </c>
      <c r="P193" s="33">
        <f t="shared" si="184"/>
        <v>3904222</v>
      </c>
      <c r="Q193" s="33">
        <f t="shared" si="182"/>
        <v>3904222</v>
      </c>
      <c r="R193" s="33">
        <f t="shared" si="182"/>
        <v>0</v>
      </c>
      <c r="S193" s="33">
        <f t="shared" si="182"/>
        <v>3904222</v>
      </c>
    </row>
    <row r="194" spans="1:19" s="17" customFormat="1">
      <c r="A194" s="21" t="s">
        <v>21</v>
      </c>
      <c r="B194" s="22" t="s">
        <v>9</v>
      </c>
      <c r="C194" s="22" t="s">
        <v>115</v>
      </c>
      <c r="D194" s="22" t="s">
        <v>153</v>
      </c>
      <c r="E194" s="22" t="s">
        <v>135</v>
      </c>
      <c r="F194" s="22" t="s">
        <v>22</v>
      </c>
      <c r="G194" s="46">
        <v>53024</v>
      </c>
      <c r="H194" s="46">
        <v>0</v>
      </c>
      <c r="I194" s="46">
        <f>G194+H194</f>
        <v>53024</v>
      </c>
      <c r="J194" s="46">
        <v>4800</v>
      </c>
      <c r="K194" s="46">
        <f>I194+J194</f>
        <v>57824</v>
      </c>
      <c r="L194" s="46">
        <v>66620</v>
      </c>
      <c r="M194" s="46">
        <v>0</v>
      </c>
      <c r="N194" s="46">
        <f>L194+M194</f>
        <v>66620</v>
      </c>
      <c r="O194" s="46">
        <v>0</v>
      </c>
      <c r="P194" s="46">
        <f>N194+O194</f>
        <v>66620</v>
      </c>
      <c r="Q194" s="46">
        <v>66620</v>
      </c>
      <c r="R194" s="46">
        <v>0</v>
      </c>
      <c r="S194" s="46">
        <f>Q194+R194</f>
        <v>66620</v>
      </c>
    </row>
    <row r="195" spans="1:19" s="17" customFormat="1">
      <c r="A195" s="21" t="s">
        <v>72</v>
      </c>
      <c r="B195" s="22" t="s">
        <v>9</v>
      </c>
      <c r="C195" s="22" t="s">
        <v>115</v>
      </c>
      <c r="D195" s="22" t="s">
        <v>153</v>
      </c>
      <c r="E195" s="22" t="s">
        <v>135</v>
      </c>
      <c r="F195" s="22" t="s">
        <v>73</v>
      </c>
      <c r="G195" s="46">
        <v>3638602</v>
      </c>
      <c r="H195" s="46">
        <v>0</v>
      </c>
      <c r="I195" s="46">
        <f>G195+H195</f>
        <v>3638602</v>
      </c>
      <c r="J195" s="46">
        <v>234520.16</v>
      </c>
      <c r="K195" s="46">
        <f>I195+J195</f>
        <v>3873122.16</v>
      </c>
      <c r="L195" s="46">
        <v>3837602</v>
      </c>
      <c r="M195" s="46">
        <v>0</v>
      </c>
      <c r="N195" s="46">
        <f>L195+M195</f>
        <v>3837602</v>
      </c>
      <c r="O195" s="46">
        <v>0</v>
      </c>
      <c r="P195" s="46">
        <f>N195+O195</f>
        <v>3837602</v>
      </c>
      <c r="Q195" s="46">
        <v>3837602</v>
      </c>
      <c r="R195" s="46">
        <v>0</v>
      </c>
      <c r="S195" s="46">
        <f>Q195+R195</f>
        <v>3837602</v>
      </c>
    </row>
    <row r="196" spans="1:19" s="17" customFormat="1">
      <c r="A196" s="21" t="s">
        <v>40</v>
      </c>
      <c r="B196" s="22" t="s">
        <v>9</v>
      </c>
      <c r="C196" s="22" t="s">
        <v>115</v>
      </c>
      <c r="D196" s="22" t="s">
        <v>153</v>
      </c>
      <c r="E196" s="22" t="s">
        <v>135</v>
      </c>
      <c r="F196" s="22">
        <v>800</v>
      </c>
      <c r="G196" s="46">
        <v>0</v>
      </c>
      <c r="H196" s="46">
        <v>930000</v>
      </c>
      <c r="I196" s="46">
        <f>H196+G196</f>
        <v>930000</v>
      </c>
      <c r="J196" s="46">
        <v>0</v>
      </c>
      <c r="K196" s="46">
        <f>J196+I196</f>
        <v>930000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</row>
    <row r="197" spans="1:19" s="17" customFormat="1">
      <c r="A197" s="14" t="s">
        <v>226</v>
      </c>
      <c r="B197" s="15" t="s">
        <v>9</v>
      </c>
      <c r="C197" s="15" t="s">
        <v>43</v>
      </c>
      <c r="D197" s="15" t="s">
        <v>0</v>
      </c>
      <c r="E197" s="15" t="s">
        <v>0</v>
      </c>
      <c r="F197" s="15" t="s">
        <v>0</v>
      </c>
      <c r="G197" s="41">
        <f t="shared" ref="G197:S198" si="185">G198</f>
        <v>45622096.439999998</v>
      </c>
      <c r="H197" s="41">
        <f t="shared" si="185"/>
        <v>0</v>
      </c>
      <c r="I197" s="41">
        <f t="shared" si="185"/>
        <v>45622096.439999998</v>
      </c>
      <c r="J197" s="41">
        <f t="shared" si="185"/>
        <v>0</v>
      </c>
      <c r="K197" s="41">
        <f t="shared" si="185"/>
        <v>45622096.439999998</v>
      </c>
      <c r="L197" s="41">
        <f t="shared" si="185"/>
        <v>42374136.969999999</v>
      </c>
      <c r="M197" s="41">
        <f t="shared" si="185"/>
        <v>0</v>
      </c>
      <c r="N197" s="41">
        <f t="shared" si="185"/>
        <v>42374136.969999999</v>
      </c>
      <c r="O197" s="41">
        <f t="shared" si="185"/>
        <v>0</v>
      </c>
      <c r="P197" s="41">
        <f t="shared" si="185"/>
        <v>42374136.969999999</v>
      </c>
      <c r="Q197" s="41">
        <f t="shared" si="185"/>
        <v>43826403.630000003</v>
      </c>
      <c r="R197" s="41">
        <f t="shared" si="185"/>
        <v>0</v>
      </c>
      <c r="S197" s="41">
        <f t="shared" si="185"/>
        <v>43826403.630000003</v>
      </c>
    </row>
    <row r="198" spans="1:19" s="17" customFormat="1">
      <c r="A198" s="14" t="s">
        <v>217</v>
      </c>
      <c r="B198" s="15" t="s">
        <v>9</v>
      </c>
      <c r="C198" s="15" t="s">
        <v>43</v>
      </c>
      <c r="D198" s="15" t="s">
        <v>107</v>
      </c>
      <c r="E198" s="15" t="s">
        <v>0</v>
      </c>
      <c r="F198" s="15" t="s">
        <v>0</v>
      </c>
      <c r="G198" s="41">
        <f t="shared" si="185"/>
        <v>45622096.439999998</v>
      </c>
      <c r="H198" s="41">
        <f t="shared" si="185"/>
        <v>0</v>
      </c>
      <c r="I198" s="41">
        <f t="shared" si="185"/>
        <v>45622096.439999998</v>
      </c>
      <c r="J198" s="41">
        <f t="shared" si="185"/>
        <v>0</v>
      </c>
      <c r="K198" s="41">
        <f t="shared" si="185"/>
        <v>45622096.439999998</v>
      </c>
      <c r="L198" s="41">
        <f t="shared" si="185"/>
        <v>42374136.969999999</v>
      </c>
      <c r="M198" s="41">
        <f t="shared" si="185"/>
        <v>0</v>
      </c>
      <c r="N198" s="41">
        <f t="shared" si="185"/>
        <v>42374136.969999999</v>
      </c>
      <c r="O198" s="41">
        <f t="shared" si="185"/>
        <v>0</v>
      </c>
      <c r="P198" s="41">
        <f t="shared" si="185"/>
        <v>42374136.969999999</v>
      </c>
      <c r="Q198" s="41">
        <f t="shared" si="185"/>
        <v>43826403.630000003</v>
      </c>
      <c r="R198" s="41">
        <f t="shared" si="185"/>
        <v>0</v>
      </c>
      <c r="S198" s="41">
        <f t="shared" si="185"/>
        <v>43826403.630000003</v>
      </c>
    </row>
    <row r="199" spans="1:19" s="17" customFormat="1">
      <c r="A199" s="14" t="s">
        <v>210</v>
      </c>
      <c r="B199" s="15" t="s">
        <v>9</v>
      </c>
      <c r="C199" s="15" t="s">
        <v>43</v>
      </c>
      <c r="D199" s="15" t="s">
        <v>107</v>
      </c>
      <c r="E199" s="15" t="s">
        <v>218</v>
      </c>
      <c r="F199" s="15" t="s">
        <v>0</v>
      </c>
      <c r="G199" s="41">
        <f t="shared" ref="G199:S200" si="186">G200</f>
        <v>45622096.439999998</v>
      </c>
      <c r="H199" s="41">
        <f t="shared" si="186"/>
        <v>0</v>
      </c>
      <c r="I199" s="41">
        <f t="shared" si="186"/>
        <v>45622096.439999998</v>
      </c>
      <c r="J199" s="41">
        <f t="shared" si="186"/>
        <v>0</v>
      </c>
      <c r="K199" s="41">
        <f t="shared" si="186"/>
        <v>45622096.439999998</v>
      </c>
      <c r="L199" s="41">
        <f t="shared" si="186"/>
        <v>42374136.969999999</v>
      </c>
      <c r="M199" s="41">
        <f t="shared" si="186"/>
        <v>0</v>
      </c>
      <c r="N199" s="41">
        <f t="shared" si="186"/>
        <v>42374136.969999999</v>
      </c>
      <c r="O199" s="41">
        <f t="shared" si="186"/>
        <v>0</v>
      </c>
      <c r="P199" s="41">
        <f t="shared" si="186"/>
        <v>42374136.969999999</v>
      </c>
      <c r="Q199" s="41">
        <f t="shared" si="186"/>
        <v>43826403.630000003</v>
      </c>
      <c r="R199" s="41">
        <f t="shared" si="186"/>
        <v>0</v>
      </c>
      <c r="S199" s="41">
        <f t="shared" si="186"/>
        <v>43826403.630000003</v>
      </c>
    </row>
    <row r="200" spans="1:19" s="17" customFormat="1" ht="27">
      <c r="A200" s="18" t="s">
        <v>124</v>
      </c>
      <c r="B200" s="19" t="s">
        <v>9</v>
      </c>
      <c r="C200" s="19" t="s">
        <v>43</v>
      </c>
      <c r="D200" s="19" t="s">
        <v>107</v>
      </c>
      <c r="E200" s="19" t="s">
        <v>219</v>
      </c>
      <c r="F200" s="19" t="s">
        <v>0</v>
      </c>
      <c r="G200" s="45">
        <f>G201</f>
        <v>45622096.439999998</v>
      </c>
      <c r="H200" s="45">
        <f>H201</f>
        <v>0</v>
      </c>
      <c r="I200" s="45">
        <f>I201</f>
        <v>45622096.439999998</v>
      </c>
      <c r="J200" s="45">
        <f>J201</f>
        <v>0</v>
      </c>
      <c r="K200" s="45">
        <f>K201</f>
        <v>45622096.439999998</v>
      </c>
      <c r="L200" s="45">
        <f t="shared" si="186"/>
        <v>42374136.969999999</v>
      </c>
      <c r="M200" s="45">
        <f t="shared" si="186"/>
        <v>0</v>
      </c>
      <c r="N200" s="45">
        <f t="shared" si="186"/>
        <v>42374136.969999999</v>
      </c>
      <c r="O200" s="45">
        <f t="shared" si="186"/>
        <v>0</v>
      </c>
      <c r="P200" s="45">
        <f t="shared" si="186"/>
        <v>42374136.969999999</v>
      </c>
      <c r="Q200" s="45">
        <f t="shared" si="186"/>
        <v>43826403.630000003</v>
      </c>
      <c r="R200" s="45">
        <f t="shared" si="186"/>
        <v>0</v>
      </c>
      <c r="S200" s="45">
        <f t="shared" si="186"/>
        <v>43826403.630000003</v>
      </c>
    </row>
    <row r="201" spans="1:19" s="17" customFormat="1" ht="25.5">
      <c r="A201" s="47" t="s">
        <v>251</v>
      </c>
      <c r="B201" s="49" t="s">
        <v>9</v>
      </c>
      <c r="C201" s="48" t="s">
        <v>43</v>
      </c>
      <c r="D201" s="48" t="s">
        <v>107</v>
      </c>
      <c r="E201" s="48" t="s">
        <v>219</v>
      </c>
      <c r="F201" s="48">
        <v>600</v>
      </c>
      <c r="G201" s="76">
        <f>41924727.01+2600971.83+1096397.6</f>
        <v>45622096.439999998</v>
      </c>
      <c r="H201" s="76">
        <v>0</v>
      </c>
      <c r="I201" s="76">
        <f>G201+H201</f>
        <v>45622096.439999998</v>
      </c>
      <c r="J201" s="76">
        <v>0</v>
      </c>
      <c r="K201" s="76">
        <f>I201+J201</f>
        <v>45622096.439999998</v>
      </c>
      <c r="L201" s="76">
        <v>42374136.969999999</v>
      </c>
      <c r="M201" s="76">
        <v>0</v>
      </c>
      <c r="N201" s="76">
        <f>L201+M201</f>
        <v>42374136.969999999</v>
      </c>
      <c r="O201" s="76">
        <v>0</v>
      </c>
      <c r="P201" s="76">
        <f>N201+O201</f>
        <v>42374136.969999999</v>
      </c>
      <c r="Q201" s="76">
        <v>43826403.630000003</v>
      </c>
      <c r="R201" s="76">
        <v>0</v>
      </c>
      <c r="S201" s="76">
        <f>Q201+R201</f>
        <v>43826403.630000003</v>
      </c>
    </row>
    <row r="202" spans="1:19" s="17" customFormat="1">
      <c r="A202" s="14" t="s">
        <v>227</v>
      </c>
      <c r="B202" s="15" t="s">
        <v>9</v>
      </c>
      <c r="C202" s="15" t="s">
        <v>93</v>
      </c>
      <c r="D202" s="15" t="s">
        <v>0</v>
      </c>
      <c r="E202" s="15" t="s">
        <v>0</v>
      </c>
      <c r="F202" s="15" t="s">
        <v>0</v>
      </c>
      <c r="G202" s="52">
        <f t="shared" ref="G202:K206" si="187">G203</f>
        <v>3644235</v>
      </c>
      <c r="H202" s="52">
        <f t="shared" si="187"/>
        <v>11222.8</v>
      </c>
      <c r="I202" s="52">
        <f t="shared" si="187"/>
        <v>3655457.8</v>
      </c>
      <c r="J202" s="52">
        <f t="shared" si="187"/>
        <v>-1000000</v>
      </c>
      <c r="K202" s="52">
        <f t="shared" si="187"/>
        <v>2655457.7999999998</v>
      </c>
      <c r="L202" s="52">
        <f t="shared" ref="L202:S206" si="188">L203</f>
        <v>3753562</v>
      </c>
      <c r="M202" s="52">
        <f t="shared" si="188"/>
        <v>0</v>
      </c>
      <c r="N202" s="52">
        <f t="shared" si="188"/>
        <v>3753562</v>
      </c>
      <c r="O202" s="52">
        <f t="shared" si="188"/>
        <v>0</v>
      </c>
      <c r="P202" s="52">
        <f t="shared" si="188"/>
        <v>3753562</v>
      </c>
      <c r="Q202" s="52">
        <f t="shared" si="188"/>
        <v>3753562</v>
      </c>
      <c r="R202" s="52">
        <f t="shared" si="188"/>
        <v>0</v>
      </c>
      <c r="S202" s="52">
        <f t="shared" si="188"/>
        <v>3753562</v>
      </c>
    </row>
    <row r="203" spans="1:19" s="17" customFormat="1">
      <c r="A203" s="14" t="s">
        <v>141</v>
      </c>
      <c r="B203" s="15" t="s">
        <v>9</v>
      </c>
      <c r="C203" s="15" t="s">
        <v>93</v>
      </c>
      <c r="D203" s="15" t="s">
        <v>31</v>
      </c>
      <c r="E203" s="15" t="s">
        <v>0</v>
      </c>
      <c r="F203" s="15" t="s">
        <v>0</v>
      </c>
      <c r="G203" s="52">
        <f t="shared" si="187"/>
        <v>3644235</v>
      </c>
      <c r="H203" s="52">
        <f t="shared" si="187"/>
        <v>11222.8</v>
      </c>
      <c r="I203" s="52">
        <f t="shared" si="187"/>
        <v>3655457.8</v>
      </c>
      <c r="J203" s="52">
        <f t="shared" si="187"/>
        <v>-1000000</v>
      </c>
      <c r="K203" s="52">
        <f t="shared" si="187"/>
        <v>2655457.7999999998</v>
      </c>
      <c r="L203" s="52">
        <f t="shared" si="188"/>
        <v>3753562</v>
      </c>
      <c r="M203" s="52">
        <f t="shared" si="188"/>
        <v>0</v>
      </c>
      <c r="N203" s="52">
        <f t="shared" si="188"/>
        <v>3753562</v>
      </c>
      <c r="O203" s="52">
        <f t="shared" si="188"/>
        <v>0</v>
      </c>
      <c r="P203" s="52">
        <f t="shared" si="188"/>
        <v>3753562</v>
      </c>
      <c r="Q203" s="52">
        <f t="shared" si="188"/>
        <v>3753562</v>
      </c>
      <c r="R203" s="52">
        <f t="shared" si="188"/>
        <v>0</v>
      </c>
      <c r="S203" s="52">
        <f t="shared" si="188"/>
        <v>3753562</v>
      </c>
    </row>
    <row r="204" spans="1:19" s="17" customFormat="1">
      <c r="A204" s="14" t="s">
        <v>142</v>
      </c>
      <c r="B204" s="15" t="s">
        <v>9</v>
      </c>
      <c r="C204" s="15" t="s">
        <v>93</v>
      </c>
      <c r="D204" s="15" t="s">
        <v>31</v>
      </c>
      <c r="E204" s="15" t="s">
        <v>143</v>
      </c>
      <c r="F204" s="15" t="s">
        <v>0</v>
      </c>
      <c r="G204" s="52">
        <f t="shared" si="187"/>
        <v>3644235</v>
      </c>
      <c r="H204" s="52">
        <f t="shared" si="187"/>
        <v>11222.8</v>
      </c>
      <c r="I204" s="52">
        <f t="shared" si="187"/>
        <v>3655457.8</v>
      </c>
      <c r="J204" s="52">
        <f t="shared" si="187"/>
        <v>-1000000</v>
      </c>
      <c r="K204" s="52">
        <f t="shared" si="187"/>
        <v>2655457.7999999998</v>
      </c>
      <c r="L204" s="52">
        <f t="shared" si="188"/>
        <v>3753562</v>
      </c>
      <c r="M204" s="52">
        <f t="shared" si="188"/>
        <v>0</v>
      </c>
      <c r="N204" s="52">
        <f t="shared" si="188"/>
        <v>3753562</v>
      </c>
      <c r="O204" s="52">
        <f t="shared" si="188"/>
        <v>0</v>
      </c>
      <c r="P204" s="52">
        <f t="shared" si="188"/>
        <v>3753562</v>
      </c>
      <c r="Q204" s="52">
        <f t="shared" si="188"/>
        <v>3753562</v>
      </c>
      <c r="R204" s="52">
        <f t="shared" si="188"/>
        <v>0</v>
      </c>
      <c r="S204" s="52">
        <f t="shared" si="188"/>
        <v>3753562</v>
      </c>
    </row>
    <row r="205" spans="1:19" s="17" customFormat="1" ht="15" customHeight="1">
      <c r="A205" s="14" t="s">
        <v>144</v>
      </c>
      <c r="B205" s="15" t="s">
        <v>9</v>
      </c>
      <c r="C205" s="15" t="s">
        <v>93</v>
      </c>
      <c r="D205" s="15" t="s">
        <v>31</v>
      </c>
      <c r="E205" s="15" t="s">
        <v>145</v>
      </c>
      <c r="F205" s="15" t="s">
        <v>0</v>
      </c>
      <c r="G205" s="52">
        <f t="shared" si="187"/>
        <v>3644235</v>
      </c>
      <c r="H205" s="52">
        <f t="shared" si="187"/>
        <v>11222.8</v>
      </c>
      <c r="I205" s="52">
        <f t="shared" si="187"/>
        <v>3655457.8</v>
      </c>
      <c r="J205" s="52">
        <f t="shared" si="187"/>
        <v>-1000000</v>
      </c>
      <c r="K205" s="52">
        <f t="shared" si="187"/>
        <v>2655457.7999999998</v>
      </c>
      <c r="L205" s="52">
        <f t="shared" si="188"/>
        <v>3753562</v>
      </c>
      <c r="M205" s="52">
        <f t="shared" si="188"/>
        <v>0</v>
      </c>
      <c r="N205" s="52">
        <f t="shared" si="188"/>
        <v>3753562</v>
      </c>
      <c r="O205" s="52">
        <f t="shared" si="188"/>
        <v>0</v>
      </c>
      <c r="P205" s="52">
        <f t="shared" si="188"/>
        <v>3753562</v>
      </c>
      <c r="Q205" s="52">
        <f t="shared" si="188"/>
        <v>3753562</v>
      </c>
      <c r="R205" s="52">
        <f t="shared" si="188"/>
        <v>0</v>
      </c>
      <c r="S205" s="52">
        <f t="shared" si="188"/>
        <v>3753562</v>
      </c>
    </row>
    <row r="206" spans="1:19" s="17" customFormat="1" ht="13.5">
      <c r="A206" s="18" t="s">
        <v>146</v>
      </c>
      <c r="B206" s="19" t="s">
        <v>9</v>
      </c>
      <c r="C206" s="19" t="s">
        <v>93</v>
      </c>
      <c r="D206" s="19" t="s">
        <v>31</v>
      </c>
      <c r="E206" s="19" t="s">
        <v>147</v>
      </c>
      <c r="F206" s="19" t="s">
        <v>0</v>
      </c>
      <c r="G206" s="33">
        <f t="shared" si="187"/>
        <v>3644235</v>
      </c>
      <c r="H206" s="33">
        <f t="shared" si="187"/>
        <v>11222.8</v>
      </c>
      <c r="I206" s="33">
        <f t="shared" si="187"/>
        <v>3655457.8</v>
      </c>
      <c r="J206" s="33">
        <f t="shared" si="187"/>
        <v>-1000000</v>
      </c>
      <c r="K206" s="33">
        <f t="shared" si="187"/>
        <v>2655457.7999999998</v>
      </c>
      <c r="L206" s="33">
        <f t="shared" si="188"/>
        <v>3753562</v>
      </c>
      <c r="M206" s="33">
        <f t="shared" si="188"/>
        <v>0</v>
      </c>
      <c r="N206" s="33">
        <f t="shared" si="188"/>
        <v>3753562</v>
      </c>
      <c r="O206" s="33">
        <f t="shared" si="188"/>
        <v>0</v>
      </c>
      <c r="P206" s="33">
        <f t="shared" si="188"/>
        <v>3753562</v>
      </c>
      <c r="Q206" s="33">
        <f t="shared" si="188"/>
        <v>3753562</v>
      </c>
      <c r="R206" s="33">
        <f t="shared" si="188"/>
        <v>0</v>
      </c>
      <c r="S206" s="33">
        <f t="shared" si="188"/>
        <v>3753562</v>
      </c>
    </row>
    <row r="207" spans="1:19" s="17" customFormat="1">
      <c r="A207" s="21" t="s">
        <v>21</v>
      </c>
      <c r="B207" s="22" t="s">
        <v>9</v>
      </c>
      <c r="C207" s="22" t="s">
        <v>93</v>
      </c>
      <c r="D207" s="22" t="s">
        <v>31</v>
      </c>
      <c r="E207" s="22" t="s">
        <v>147</v>
      </c>
      <c r="F207" s="22" t="s">
        <v>22</v>
      </c>
      <c r="G207" s="46">
        <v>3644235</v>
      </c>
      <c r="H207" s="46">
        <v>11222.8</v>
      </c>
      <c r="I207" s="46">
        <f>G207+H207</f>
        <v>3655457.8</v>
      </c>
      <c r="J207" s="46">
        <v>-1000000</v>
      </c>
      <c r="K207" s="46">
        <f>I207+J207</f>
        <v>2655457.7999999998</v>
      </c>
      <c r="L207" s="46">
        <v>3753562</v>
      </c>
      <c r="M207" s="46">
        <v>0</v>
      </c>
      <c r="N207" s="46">
        <f>L207+M207</f>
        <v>3753562</v>
      </c>
      <c r="O207" s="46">
        <v>0</v>
      </c>
      <c r="P207" s="46">
        <f>N207+O207</f>
        <v>3753562</v>
      </c>
      <c r="Q207" s="46">
        <v>3753562</v>
      </c>
      <c r="R207" s="46">
        <v>0</v>
      </c>
      <c r="S207" s="46">
        <f>Q207+R207</f>
        <v>3753562</v>
      </c>
    </row>
    <row r="208" spans="1:19" s="17" customFormat="1" ht="12.75" customHeight="1">
      <c r="A208" s="14" t="s">
        <v>228</v>
      </c>
      <c r="B208" s="15" t="s">
        <v>9</v>
      </c>
      <c r="C208" s="15" t="s">
        <v>77</v>
      </c>
      <c r="D208" s="15" t="s">
        <v>0</v>
      </c>
      <c r="E208" s="15" t="s">
        <v>0</v>
      </c>
      <c r="F208" s="15" t="s">
        <v>0</v>
      </c>
      <c r="G208" s="52">
        <f t="shared" ref="G208:K212" si="189">G209</f>
        <v>987439.46</v>
      </c>
      <c r="H208" s="52">
        <f t="shared" si="189"/>
        <v>0</v>
      </c>
      <c r="I208" s="52">
        <f t="shared" si="189"/>
        <v>987439.46</v>
      </c>
      <c r="J208" s="52">
        <f t="shared" si="189"/>
        <v>0</v>
      </c>
      <c r="K208" s="52">
        <f t="shared" si="189"/>
        <v>987439.46</v>
      </c>
      <c r="L208" s="52">
        <f t="shared" ref="L208:S212" si="190">L209</f>
        <v>987439.46</v>
      </c>
      <c r="M208" s="52">
        <f t="shared" si="190"/>
        <v>0</v>
      </c>
      <c r="N208" s="52">
        <f t="shared" si="190"/>
        <v>987439.46</v>
      </c>
      <c r="O208" s="52">
        <f t="shared" si="190"/>
        <v>0</v>
      </c>
      <c r="P208" s="52">
        <f t="shared" si="190"/>
        <v>987439.46</v>
      </c>
      <c r="Q208" s="52">
        <f t="shared" si="190"/>
        <v>987439.46</v>
      </c>
      <c r="R208" s="52">
        <f t="shared" si="190"/>
        <v>0</v>
      </c>
      <c r="S208" s="52">
        <f t="shared" si="190"/>
        <v>987439.46</v>
      </c>
    </row>
    <row r="209" spans="1:19" s="17" customFormat="1">
      <c r="A209" s="14" t="s">
        <v>148</v>
      </c>
      <c r="B209" s="15" t="s">
        <v>9</v>
      </c>
      <c r="C209" s="15" t="s">
        <v>77</v>
      </c>
      <c r="D209" s="15" t="s">
        <v>12</v>
      </c>
      <c r="E209" s="15" t="s">
        <v>0</v>
      </c>
      <c r="F209" s="15" t="s">
        <v>0</v>
      </c>
      <c r="G209" s="52">
        <f t="shared" si="189"/>
        <v>987439.46</v>
      </c>
      <c r="H209" s="52">
        <f t="shared" si="189"/>
        <v>0</v>
      </c>
      <c r="I209" s="52">
        <f t="shared" si="189"/>
        <v>987439.46</v>
      </c>
      <c r="J209" s="52">
        <f t="shared" si="189"/>
        <v>0</v>
      </c>
      <c r="K209" s="52">
        <f t="shared" si="189"/>
        <v>987439.46</v>
      </c>
      <c r="L209" s="52">
        <f t="shared" si="190"/>
        <v>987439.46</v>
      </c>
      <c r="M209" s="52">
        <f t="shared" si="190"/>
        <v>0</v>
      </c>
      <c r="N209" s="52">
        <f t="shared" si="190"/>
        <v>987439.46</v>
      </c>
      <c r="O209" s="52">
        <f t="shared" si="190"/>
        <v>0</v>
      </c>
      <c r="P209" s="52">
        <f t="shared" si="190"/>
        <v>987439.46</v>
      </c>
      <c r="Q209" s="52">
        <f t="shared" si="190"/>
        <v>987439.46</v>
      </c>
      <c r="R209" s="52">
        <f t="shared" si="190"/>
        <v>0</v>
      </c>
      <c r="S209" s="52">
        <f t="shared" si="190"/>
        <v>987439.46</v>
      </c>
    </row>
    <row r="210" spans="1:19" s="17" customFormat="1" ht="14.45" customHeight="1">
      <c r="A210" s="14" t="s">
        <v>13</v>
      </c>
      <c r="B210" s="15" t="s">
        <v>9</v>
      </c>
      <c r="C210" s="15" t="s">
        <v>77</v>
      </c>
      <c r="D210" s="15" t="s">
        <v>12</v>
      </c>
      <c r="E210" s="15" t="s">
        <v>14</v>
      </c>
      <c r="F210" s="15" t="s">
        <v>0</v>
      </c>
      <c r="G210" s="52">
        <f t="shared" si="189"/>
        <v>987439.46</v>
      </c>
      <c r="H210" s="52">
        <f t="shared" si="189"/>
        <v>0</v>
      </c>
      <c r="I210" s="52">
        <f t="shared" si="189"/>
        <v>987439.46</v>
      </c>
      <c r="J210" s="52">
        <f t="shared" si="189"/>
        <v>0</v>
      </c>
      <c r="K210" s="52">
        <f t="shared" si="189"/>
        <v>987439.46</v>
      </c>
      <c r="L210" s="52">
        <f t="shared" si="190"/>
        <v>987439.46</v>
      </c>
      <c r="M210" s="52">
        <f t="shared" si="190"/>
        <v>0</v>
      </c>
      <c r="N210" s="52">
        <f t="shared" si="190"/>
        <v>987439.46</v>
      </c>
      <c r="O210" s="52">
        <f t="shared" si="190"/>
        <v>0</v>
      </c>
      <c r="P210" s="52">
        <f t="shared" si="190"/>
        <v>987439.46</v>
      </c>
      <c r="Q210" s="52">
        <f t="shared" si="190"/>
        <v>987439.46</v>
      </c>
      <c r="R210" s="52">
        <f t="shared" si="190"/>
        <v>0</v>
      </c>
      <c r="S210" s="52">
        <f t="shared" si="190"/>
        <v>987439.46</v>
      </c>
    </row>
    <row r="211" spans="1:19" s="17" customFormat="1">
      <c r="A211" s="14" t="s">
        <v>86</v>
      </c>
      <c r="B211" s="15" t="s">
        <v>9</v>
      </c>
      <c r="C211" s="15" t="s">
        <v>77</v>
      </c>
      <c r="D211" s="15" t="s">
        <v>12</v>
      </c>
      <c r="E211" s="15" t="s">
        <v>149</v>
      </c>
      <c r="F211" s="15" t="s">
        <v>0</v>
      </c>
      <c r="G211" s="52">
        <f t="shared" si="189"/>
        <v>987439.46</v>
      </c>
      <c r="H211" s="52">
        <f t="shared" si="189"/>
        <v>0</v>
      </c>
      <c r="I211" s="52">
        <f t="shared" si="189"/>
        <v>987439.46</v>
      </c>
      <c r="J211" s="52">
        <f t="shared" si="189"/>
        <v>0</v>
      </c>
      <c r="K211" s="52">
        <f t="shared" si="189"/>
        <v>987439.46</v>
      </c>
      <c r="L211" s="52">
        <f t="shared" si="190"/>
        <v>987439.46</v>
      </c>
      <c r="M211" s="52">
        <f t="shared" si="190"/>
        <v>0</v>
      </c>
      <c r="N211" s="52">
        <f t="shared" si="190"/>
        <v>987439.46</v>
      </c>
      <c r="O211" s="52">
        <f t="shared" si="190"/>
        <v>0</v>
      </c>
      <c r="P211" s="52">
        <f t="shared" si="190"/>
        <v>987439.46</v>
      </c>
      <c r="Q211" s="52">
        <f t="shared" si="190"/>
        <v>987439.46</v>
      </c>
      <c r="R211" s="52">
        <f t="shared" si="190"/>
        <v>0</v>
      </c>
      <c r="S211" s="52">
        <f t="shared" si="190"/>
        <v>987439.46</v>
      </c>
    </row>
    <row r="212" spans="1:19" s="17" customFormat="1" ht="54" customHeight="1">
      <c r="A212" s="18" t="s">
        <v>150</v>
      </c>
      <c r="B212" s="19" t="s">
        <v>9</v>
      </c>
      <c r="C212" s="19" t="s">
        <v>77</v>
      </c>
      <c r="D212" s="19" t="s">
        <v>12</v>
      </c>
      <c r="E212" s="19" t="s">
        <v>151</v>
      </c>
      <c r="F212" s="19" t="s">
        <v>0</v>
      </c>
      <c r="G212" s="33">
        <f t="shared" si="189"/>
        <v>987439.46</v>
      </c>
      <c r="H212" s="33">
        <f t="shared" si="189"/>
        <v>0</v>
      </c>
      <c r="I212" s="33">
        <f t="shared" si="189"/>
        <v>987439.46</v>
      </c>
      <c r="J212" s="33">
        <f t="shared" si="189"/>
        <v>0</v>
      </c>
      <c r="K212" s="33">
        <f t="shared" si="189"/>
        <v>987439.46</v>
      </c>
      <c r="L212" s="33">
        <f t="shared" si="190"/>
        <v>987439.46</v>
      </c>
      <c r="M212" s="33">
        <f t="shared" si="190"/>
        <v>0</v>
      </c>
      <c r="N212" s="33">
        <f t="shared" si="190"/>
        <v>987439.46</v>
      </c>
      <c r="O212" s="33">
        <f t="shared" si="190"/>
        <v>0</v>
      </c>
      <c r="P212" s="33">
        <f t="shared" si="190"/>
        <v>987439.46</v>
      </c>
      <c r="Q212" s="33">
        <f t="shared" si="190"/>
        <v>987439.46</v>
      </c>
      <c r="R212" s="33">
        <f t="shared" si="190"/>
        <v>0</v>
      </c>
      <c r="S212" s="33">
        <f t="shared" si="190"/>
        <v>987439.46</v>
      </c>
    </row>
    <row r="213" spans="1:19" s="17" customFormat="1">
      <c r="A213" s="21" t="s">
        <v>86</v>
      </c>
      <c r="B213" s="22" t="s">
        <v>9</v>
      </c>
      <c r="C213" s="22" t="s">
        <v>77</v>
      </c>
      <c r="D213" s="22" t="s">
        <v>12</v>
      </c>
      <c r="E213" s="22" t="s">
        <v>151</v>
      </c>
      <c r="F213" s="22" t="s">
        <v>87</v>
      </c>
      <c r="G213" s="46">
        <v>987439.46</v>
      </c>
      <c r="H213" s="46">
        <v>0</v>
      </c>
      <c r="I213" s="46">
        <f>G213+H213</f>
        <v>987439.46</v>
      </c>
      <c r="J213" s="46">
        <v>0</v>
      </c>
      <c r="K213" s="46">
        <f>I213+J213</f>
        <v>987439.46</v>
      </c>
      <c r="L213" s="46">
        <v>987439.46</v>
      </c>
      <c r="M213" s="46">
        <v>0</v>
      </c>
      <c r="N213" s="46">
        <f>L213+M213</f>
        <v>987439.46</v>
      </c>
      <c r="O213" s="46">
        <v>0</v>
      </c>
      <c r="P213" s="46">
        <f>N213+O213</f>
        <v>987439.46</v>
      </c>
      <c r="Q213" s="46">
        <v>987439.46</v>
      </c>
      <c r="R213" s="46">
        <v>0</v>
      </c>
      <c r="S213" s="46">
        <f>Q213+R213</f>
        <v>987439.46</v>
      </c>
    </row>
    <row r="214" spans="1:19" s="53" customFormat="1">
      <c r="A214" s="26" t="s">
        <v>156</v>
      </c>
      <c r="B214" s="27" t="s">
        <v>9</v>
      </c>
      <c r="C214" s="27" t="s">
        <v>0</v>
      </c>
      <c r="D214" s="27" t="s">
        <v>0</v>
      </c>
      <c r="E214" s="27" t="s">
        <v>0</v>
      </c>
      <c r="F214" s="27" t="s">
        <v>0</v>
      </c>
      <c r="G214" s="28">
        <f t="shared" ref="G214:K218" si="191">G215</f>
        <v>4939575.9499999993</v>
      </c>
      <c r="H214" s="28">
        <f t="shared" si="191"/>
        <v>0</v>
      </c>
      <c r="I214" s="28">
        <f t="shared" si="191"/>
        <v>4939575.9499999993</v>
      </c>
      <c r="J214" s="28">
        <f t="shared" si="191"/>
        <v>193453.29</v>
      </c>
      <c r="K214" s="28">
        <f t="shared" si="191"/>
        <v>5133029.2399999993</v>
      </c>
      <c r="L214" s="28">
        <f t="shared" ref="L214:S218" si="192">L215</f>
        <v>5679628.8700000001</v>
      </c>
      <c r="M214" s="28">
        <f t="shared" si="192"/>
        <v>749582.67</v>
      </c>
      <c r="N214" s="28">
        <f t="shared" si="192"/>
        <v>5179907.09</v>
      </c>
      <c r="O214" s="28">
        <f t="shared" si="192"/>
        <v>0</v>
      </c>
      <c r="P214" s="28">
        <f t="shared" si="192"/>
        <v>5179907.09</v>
      </c>
      <c r="Q214" s="28">
        <f t="shared" si="192"/>
        <v>5281664</v>
      </c>
      <c r="R214" s="28">
        <f t="shared" si="192"/>
        <v>0</v>
      </c>
      <c r="S214" s="28">
        <f t="shared" si="192"/>
        <v>5281664</v>
      </c>
    </row>
    <row r="215" spans="1:19" s="17" customFormat="1">
      <c r="A215" s="14" t="s">
        <v>230</v>
      </c>
      <c r="B215" s="24" t="s">
        <v>9</v>
      </c>
      <c r="C215" s="24" t="s">
        <v>10</v>
      </c>
      <c r="D215" s="24" t="s">
        <v>0</v>
      </c>
      <c r="E215" s="24" t="s">
        <v>0</v>
      </c>
      <c r="F215" s="24" t="s">
        <v>0</v>
      </c>
      <c r="G215" s="25">
        <f t="shared" si="191"/>
        <v>4939575.9499999993</v>
      </c>
      <c r="H215" s="25">
        <f t="shared" si="191"/>
        <v>0</v>
      </c>
      <c r="I215" s="25">
        <f t="shared" si="191"/>
        <v>4939575.9499999993</v>
      </c>
      <c r="J215" s="25">
        <f t="shared" si="191"/>
        <v>193453.29</v>
      </c>
      <c r="K215" s="25">
        <f t="shared" si="191"/>
        <v>5133029.2399999993</v>
      </c>
      <c r="L215" s="25">
        <f t="shared" si="192"/>
        <v>5679628.8700000001</v>
      </c>
      <c r="M215" s="25">
        <f t="shared" si="192"/>
        <v>749582.67</v>
      </c>
      <c r="N215" s="25">
        <f t="shared" si="192"/>
        <v>5179907.09</v>
      </c>
      <c r="O215" s="25">
        <f t="shared" si="192"/>
        <v>0</v>
      </c>
      <c r="P215" s="25">
        <f t="shared" si="192"/>
        <v>5179907.09</v>
      </c>
      <c r="Q215" s="25">
        <f t="shared" si="192"/>
        <v>5281664</v>
      </c>
      <c r="R215" s="25">
        <f t="shared" si="192"/>
        <v>0</v>
      </c>
      <c r="S215" s="25">
        <f t="shared" si="192"/>
        <v>5281664</v>
      </c>
    </row>
    <row r="216" spans="1:19" s="17" customFormat="1" ht="27.75" customHeight="1">
      <c r="A216" s="23" t="s">
        <v>152</v>
      </c>
      <c r="B216" s="24" t="s">
        <v>9</v>
      </c>
      <c r="C216" s="24" t="s">
        <v>10</v>
      </c>
      <c r="D216" s="24" t="s">
        <v>153</v>
      </c>
      <c r="E216" s="24" t="s">
        <v>0</v>
      </c>
      <c r="F216" s="24" t="s">
        <v>0</v>
      </c>
      <c r="G216" s="25">
        <f t="shared" si="191"/>
        <v>4939575.9499999993</v>
      </c>
      <c r="H216" s="25">
        <f t="shared" si="191"/>
        <v>0</v>
      </c>
      <c r="I216" s="25">
        <f t="shared" si="191"/>
        <v>4939575.9499999993</v>
      </c>
      <c r="J216" s="25">
        <f t="shared" si="191"/>
        <v>193453.29</v>
      </c>
      <c r="K216" s="25">
        <f t="shared" si="191"/>
        <v>5133029.2399999993</v>
      </c>
      <c r="L216" s="25">
        <f t="shared" si="192"/>
        <v>5679628.8700000001</v>
      </c>
      <c r="M216" s="25">
        <f t="shared" si="192"/>
        <v>749582.67</v>
      </c>
      <c r="N216" s="25">
        <f t="shared" si="192"/>
        <v>5179907.09</v>
      </c>
      <c r="O216" s="25">
        <f t="shared" si="192"/>
        <v>0</v>
      </c>
      <c r="P216" s="25">
        <f t="shared" si="192"/>
        <v>5179907.09</v>
      </c>
      <c r="Q216" s="25">
        <f t="shared" si="192"/>
        <v>5281664</v>
      </c>
      <c r="R216" s="25">
        <f t="shared" si="192"/>
        <v>0</v>
      </c>
      <c r="S216" s="25">
        <f t="shared" si="192"/>
        <v>5281664</v>
      </c>
    </row>
    <row r="217" spans="1:19" s="17" customFormat="1">
      <c r="A217" s="23" t="s">
        <v>13</v>
      </c>
      <c r="B217" s="24" t="s">
        <v>9</v>
      </c>
      <c r="C217" s="24" t="s">
        <v>10</v>
      </c>
      <c r="D217" s="24" t="s">
        <v>153</v>
      </c>
      <c r="E217" s="24" t="s">
        <v>14</v>
      </c>
      <c r="F217" s="24" t="s">
        <v>0</v>
      </c>
      <c r="G217" s="25">
        <f t="shared" si="191"/>
        <v>4939575.9499999993</v>
      </c>
      <c r="H217" s="25">
        <f t="shared" si="191"/>
        <v>0</v>
      </c>
      <c r="I217" s="25">
        <f t="shared" si="191"/>
        <v>4939575.9499999993</v>
      </c>
      <c r="J217" s="25">
        <f t="shared" si="191"/>
        <v>193453.29</v>
      </c>
      <c r="K217" s="25">
        <f t="shared" si="191"/>
        <v>5133029.2399999993</v>
      </c>
      <c r="L217" s="25">
        <f t="shared" si="192"/>
        <v>5679628.8700000001</v>
      </c>
      <c r="M217" s="25">
        <f t="shared" si="192"/>
        <v>749582.67</v>
      </c>
      <c r="N217" s="25">
        <f t="shared" si="192"/>
        <v>5179907.09</v>
      </c>
      <c r="O217" s="25">
        <f t="shared" si="192"/>
        <v>0</v>
      </c>
      <c r="P217" s="25">
        <f t="shared" si="192"/>
        <v>5179907.09</v>
      </c>
      <c r="Q217" s="25">
        <f t="shared" si="192"/>
        <v>5281664</v>
      </c>
      <c r="R217" s="25">
        <f t="shared" si="192"/>
        <v>0</v>
      </c>
      <c r="S217" s="25">
        <f t="shared" si="192"/>
        <v>5281664</v>
      </c>
    </row>
    <row r="218" spans="1:19" s="17" customFormat="1" ht="25.5">
      <c r="A218" s="23" t="s">
        <v>15</v>
      </c>
      <c r="B218" s="24" t="s">
        <v>9</v>
      </c>
      <c r="C218" s="24" t="s">
        <v>10</v>
      </c>
      <c r="D218" s="24" t="s">
        <v>153</v>
      </c>
      <c r="E218" s="24" t="s">
        <v>16</v>
      </c>
      <c r="F218" s="24" t="s">
        <v>0</v>
      </c>
      <c r="G218" s="25">
        <f t="shared" si="191"/>
        <v>4939575.9499999993</v>
      </c>
      <c r="H218" s="25">
        <f t="shared" si="191"/>
        <v>0</v>
      </c>
      <c r="I218" s="25">
        <f t="shared" si="191"/>
        <v>4939575.9499999993</v>
      </c>
      <c r="J218" s="25">
        <f t="shared" si="191"/>
        <v>193453.29</v>
      </c>
      <c r="K218" s="25">
        <f t="shared" si="191"/>
        <v>5133029.2399999993</v>
      </c>
      <c r="L218" s="25">
        <f t="shared" si="192"/>
        <v>5679628.8700000001</v>
      </c>
      <c r="M218" s="25">
        <f t="shared" si="192"/>
        <v>749582.67</v>
      </c>
      <c r="N218" s="25">
        <f t="shared" si="192"/>
        <v>5179907.09</v>
      </c>
      <c r="O218" s="25">
        <f t="shared" si="192"/>
        <v>0</v>
      </c>
      <c r="P218" s="25">
        <f t="shared" si="192"/>
        <v>5179907.09</v>
      </c>
      <c r="Q218" s="25">
        <f t="shared" si="192"/>
        <v>5281664</v>
      </c>
      <c r="R218" s="25">
        <f t="shared" si="192"/>
        <v>0</v>
      </c>
      <c r="S218" s="25">
        <f t="shared" si="192"/>
        <v>5281664</v>
      </c>
    </row>
    <row r="219" spans="1:19" s="17" customFormat="1" ht="27">
      <c r="A219" s="29" t="s">
        <v>154</v>
      </c>
      <c r="B219" s="30" t="s">
        <v>9</v>
      </c>
      <c r="C219" s="30" t="s">
        <v>10</v>
      </c>
      <c r="D219" s="30" t="s">
        <v>153</v>
      </c>
      <c r="E219" s="30" t="s">
        <v>155</v>
      </c>
      <c r="F219" s="30" t="s">
        <v>0</v>
      </c>
      <c r="G219" s="31">
        <f t="shared" ref="G219:H219" si="193">G220+G221+G223</f>
        <v>4939575.9499999993</v>
      </c>
      <c r="H219" s="31">
        <f t="shared" si="193"/>
        <v>0</v>
      </c>
      <c r="I219" s="31">
        <f>I220+I221+I223+I222</f>
        <v>4939575.9499999993</v>
      </c>
      <c r="J219" s="31">
        <f t="shared" ref="J219:S219" si="194">J220+J221+J223+J222</f>
        <v>193453.29</v>
      </c>
      <c r="K219" s="31">
        <f t="shared" si="194"/>
        <v>5133029.2399999993</v>
      </c>
      <c r="L219" s="31">
        <f t="shared" si="194"/>
        <v>5679628.8700000001</v>
      </c>
      <c r="M219" s="31">
        <f t="shared" si="194"/>
        <v>749582.67</v>
      </c>
      <c r="N219" s="31">
        <f t="shared" si="194"/>
        <v>5179907.09</v>
      </c>
      <c r="O219" s="31">
        <f t="shared" si="194"/>
        <v>0</v>
      </c>
      <c r="P219" s="31">
        <f t="shared" si="194"/>
        <v>5179907.09</v>
      </c>
      <c r="Q219" s="31">
        <f t="shared" si="194"/>
        <v>5281664</v>
      </c>
      <c r="R219" s="31">
        <f t="shared" si="194"/>
        <v>0</v>
      </c>
      <c r="S219" s="31">
        <f t="shared" si="194"/>
        <v>5281664</v>
      </c>
    </row>
    <row r="220" spans="1:19" s="17" customFormat="1">
      <c r="A220" s="21" t="s">
        <v>19</v>
      </c>
      <c r="B220" s="22" t="s">
        <v>9</v>
      </c>
      <c r="C220" s="22" t="s">
        <v>10</v>
      </c>
      <c r="D220" s="22" t="s">
        <v>153</v>
      </c>
      <c r="E220" s="22" t="s">
        <v>155</v>
      </c>
      <c r="F220" s="22" t="s">
        <v>20</v>
      </c>
      <c r="G220" s="11">
        <v>4773781.43</v>
      </c>
      <c r="H220" s="11">
        <v>0</v>
      </c>
      <c r="I220" s="11">
        <f>G220+H220</f>
        <v>4773781.43</v>
      </c>
      <c r="J220" s="11">
        <v>-56407.6</v>
      </c>
      <c r="K220" s="11">
        <f>I220+J220</f>
        <v>4717373.83</v>
      </c>
      <c r="L220" s="11">
        <v>4955578.53</v>
      </c>
      <c r="M220" s="11">
        <v>0</v>
      </c>
      <c r="N220" s="11">
        <f>L220+M220</f>
        <v>4955578.53</v>
      </c>
      <c r="O220" s="11">
        <v>0</v>
      </c>
      <c r="P220" s="11">
        <f>N220+O220</f>
        <v>4955578.53</v>
      </c>
      <c r="Q220" s="11">
        <v>5117789.72</v>
      </c>
      <c r="R220" s="11">
        <v>0</v>
      </c>
      <c r="S220" s="11">
        <f>Q220+R220</f>
        <v>5117789.72</v>
      </c>
    </row>
    <row r="221" spans="1:19" s="17" customFormat="1">
      <c r="A221" s="21" t="s">
        <v>21</v>
      </c>
      <c r="B221" s="22" t="s">
        <v>9</v>
      </c>
      <c r="C221" s="22" t="s">
        <v>10</v>
      </c>
      <c r="D221" s="22" t="s">
        <v>153</v>
      </c>
      <c r="E221" s="22" t="s">
        <v>155</v>
      </c>
      <c r="F221" s="22" t="s">
        <v>22</v>
      </c>
      <c r="G221" s="11">
        <v>155434.51999999999</v>
      </c>
      <c r="H221" s="11">
        <v>0</v>
      </c>
      <c r="I221" s="11">
        <f>G221+H221</f>
        <v>155434.51999999999</v>
      </c>
      <c r="J221" s="11">
        <v>0</v>
      </c>
      <c r="K221" s="11">
        <f>I221+J221</f>
        <v>155434.51999999999</v>
      </c>
      <c r="L221" s="11">
        <v>213657.56</v>
      </c>
      <c r="M221" s="11">
        <v>0</v>
      </c>
      <c r="N221" s="11">
        <f t="shared" ref="N221:N223" si="195">L221+M221</f>
        <v>213657.56</v>
      </c>
      <c r="O221" s="11">
        <v>0</v>
      </c>
      <c r="P221" s="11">
        <f t="shared" ref="P221:P223" si="196">N221+O221</f>
        <v>213657.56</v>
      </c>
      <c r="Q221" s="11">
        <v>152883.28</v>
      </c>
      <c r="R221" s="11">
        <v>0</v>
      </c>
      <c r="S221" s="11">
        <f t="shared" ref="S221:S223" si="197">Q221+R221</f>
        <v>152883.28</v>
      </c>
    </row>
    <row r="222" spans="1:19" s="17" customFormat="1">
      <c r="A222" s="21" t="s">
        <v>72</v>
      </c>
      <c r="B222" s="22" t="s">
        <v>9</v>
      </c>
      <c r="C222" s="22" t="s">
        <v>10</v>
      </c>
      <c r="D222" s="22" t="s">
        <v>153</v>
      </c>
      <c r="E222" s="22" t="s">
        <v>155</v>
      </c>
      <c r="F222" s="22">
        <v>300</v>
      </c>
      <c r="G222" s="11"/>
      <c r="H222" s="11"/>
      <c r="I222" s="11">
        <v>0</v>
      </c>
      <c r="J222" s="11">
        <f>56407.6+193453.29</f>
        <v>249860.89</v>
      </c>
      <c r="K222" s="11">
        <f>I222+J222</f>
        <v>249860.89</v>
      </c>
      <c r="L222" s="11">
        <f t="shared" ref="L222:M222" si="198">J222+K222</f>
        <v>499721.78</v>
      </c>
      <c r="M222" s="11">
        <f t="shared" si="198"/>
        <v>749582.67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</row>
    <row r="223" spans="1:19" s="17" customFormat="1">
      <c r="A223" s="21" t="s">
        <v>40</v>
      </c>
      <c r="B223" s="22" t="s">
        <v>9</v>
      </c>
      <c r="C223" s="22" t="s">
        <v>10</v>
      </c>
      <c r="D223" s="22" t="s">
        <v>153</v>
      </c>
      <c r="E223" s="22" t="s">
        <v>155</v>
      </c>
      <c r="F223" s="22" t="s">
        <v>41</v>
      </c>
      <c r="G223" s="11">
        <v>10360</v>
      </c>
      <c r="H223" s="11">
        <v>0</v>
      </c>
      <c r="I223" s="11">
        <f>G223+H223</f>
        <v>10360</v>
      </c>
      <c r="J223" s="11">
        <v>0</v>
      </c>
      <c r="K223" s="11">
        <f>I223+J223</f>
        <v>10360</v>
      </c>
      <c r="L223" s="11">
        <v>10671</v>
      </c>
      <c r="M223" s="11">
        <v>0</v>
      </c>
      <c r="N223" s="11">
        <f t="shared" si="195"/>
        <v>10671</v>
      </c>
      <c r="O223" s="11">
        <v>0</v>
      </c>
      <c r="P223" s="11">
        <f t="shared" si="196"/>
        <v>10671</v>
      </c>
      <c r="Q223" s="11">
        <v>10991</v>
      </c>
      <c r="R223" s="11">
        <v>0</v>
      </c>
      <c r="S223" s="11">
        <f t="shared" si="197"/>
        <v>10991</v>
      </c>
    </row>
    <row r="224" spans="1:19" s="53" customFormat="1" ht="25.5">
      <c r="A224" s="26" t="s">
        <v>213</v>
      </c>
      <c r="B224" s="27" t="s">
        <v>9</v>
      </c>
      <c r="C224" s="27" t="s">
        <v>0</v>
      </c>
      <c r="D224" s="27" t="s">
        <v>0</v>
      </c>
      <c r="E224" s="27" t="s">
        <v>0</v>
      </c>
      <c r="F224" s="27" t="s">
        <v>0</v>
      </c>
      <c r="G224" s="13">
        <f t="shared" ref="G224:S224" si="199">G225+G234+G255</f>
        <v>267224883.61000001</v>
      </c>
      <c r="H224" s="13">
        <f t="shared" si="199"/>
        <v>247617721.48999995</v>
      </c>
      <c r="I224" s="13">
        <f t="shared" si="199"/>
        <v>514842605.09999996</v>
      </c>
      <c r="J224" s="13">
        <f t="shared" ref="J224:K224" si="200">J225+J234+J255</f>
        <v>1224636.6499999948</v>
      </c>
      <c r="K224" s="13">
        <f t="shared" si="200"/>
        <v>516067241.75</v>
      </c>
      <c r="L224" s="13">
        <f t="shared" si="199"/>
        <v>222326248.64999998</v>
      </c>
      <c r="M224" s="13">
        <f t="shared" si="199"/>
        <v>0</v>
      </c>
      <c r="N224" s="13">
        <f t="shared" si="199"/>
        <v>222326248.64999998</v>
      </c>
      <c r="O224" s="13">
        <f t="shared" ref="O224:P224" si="201">O225+O234+O255</f>
        <v>0</v>
      </c>
      <c r="P224" s="13">
        <f t="shared" si="201"/>
        <v>222326248.64999998</v>
      </c>
      <c r="Q224" s="13">
        <f t="shared" si="199"/>
        <v>223964652.33000001</v>
      </c>
      <c r="R224" s="13">
        <f t="shared" si="199"/>
        <v>0</v>
      </c>
      <c r="S224" s="13">
        <f t="shared" si="199"/>
        <v>223964652.33000001</v>
      </c>
    </row>
    <row r="225" spans="1:19" s="53" customFormat="1">
      <c r="A225" s="50" t="s">
        <v>241</v>
      </c>
      <c r="B225" s="51" t="s">
        <v>9</v>
      </c>
      <c r="C225" s="51" t="s">
        <v>10</v>
      </c>
      <c r="D225" s="51" t="s">
        <v>0</v>
      </c>
      <c r="E225" s="51" t="s">
        <v>0</v>
      </c>
      <c r="F225" s="51" t="s">
        <v>0</v>
      </c>
      <c r="G225" s="52">
        <f t="shared" ref="G225:S229" si="202">G226</f>
        <v>1515955.2</v>
      </c>
      <c r="H225" s="52">
        <f t="shared" si="202"/>
        <v>0</v>
      </c>
      <c r="I225" s="52">
        <f t="shared" si="202"/>
        <v>1515955.2</v>
      </c>
      <c r="J225" s="52">
        <f t="shared" si="202"/>
        <v>0</v>
      </c>
      <c r="K225" s="52">
        <f t="shared" si="202"/>
        <v>1515955.2</v>
      </c>
      <c r="L225" s="52">
        <f t="shared" si="202"/>
        <v>0</v>
      </c>
      <c r="M225" s="52">
        <f t="shared" si="202"/>
        <v>0</v>
      </c>
      <c r="N225" s="52">
        <f t="shared" si="202"/>
        <v>0</v>
      </c>
      <c r="O225" s="52">
        <f t="shared" si="202"/>
        <v>0</v>
      </c>
      <c r="P225" s="52">
        <f t="shared" si="202"/>
        <v>0</v>
      </c>
      <c r="Q225" s="52">
        <f t="shared" si="202"/>
        <v>0</v>
      </c>
      <c r="R225" s="52">
        <f t="shared" si="202"/>
        <v>0</v>
      </c>
      <c r="S225" s="52">
        <f t="shared" si="202"/>
        <v>0</v>
      </c>
    </row>
    <row r="226" spans="1:19" s="53" customFormat="1">
      <c r="A226" s="50" t="s">
        <v>50</v>
      </c>
      <c r="B226" s="51" t="s">
        <v>9</v>
      </c>
      <c r="C226" s="40" t="s">
        <v>10</v>
      </c>
      <c r="D226" s="40" t="s">
        <v>51</v>
      </c>
      <c r="E226" s="51" t="s">
        <v>0</v>
      </c>
      <c r="F226" s="51" t="s">
        <v>0</v>
      </c>
      <c r="G226" s="52">
        <f t="shared" ref="G226:S226" si="203">G227+G231</f>
        <v>1515955.2</v>
      </c>
      <c r="H226" s="52">
        <f t="shared" si="203"/>
        <v>0</v>
      </c>
      <c r="I226" s="52">
        <f t="shared" si="203"/>
        <v>1515955.2</v>
      </c>
      <c r="J226" s="52">
        <f t="shared" ref="J226:K226" si="204">J227+J231</f>
        <v>0</v>
      </c>
      <c r="K226" s="52">
        <f t="shared" si="204"/>
        <v>1515955.2</v>
      </c>
      <c r="L226" s="52">
        <f t="shared" si="203"/>
        <v>0</v>
      </c>
      <c r="M226" s="52">
        <f t="shared" si="203"/>
        <v>0</v>
      </c>
      <c r="N226" s="52">
        <f t="shared" si="203"/>
        <v>0</v>
      </c>
      <c r="O226" s="52">
        <f t="shared" ref="O226:P226" si="205">O227+O231</f>
        <v>0</v>
      </c>
      <c r="P226" s="52">
        <f t="shared" si="205"/>
        <v>0</v>
      </c>
      <c r="Q226" s="52">
        <f t="shared" si="203"/>
        <v>0</v>
      </c>
      <c r="R226" s="52">
        <f t="shared" si="203"/>
        <v>0</v>
      </c>
      <c r="S226" s="52">
        <f t="shared" si="203"/>
        <v>0</v>
      </c>
    </row>
    <row r="227" spans="1:19" s="53" customFormat="1" hidden="1" outlineLevel="1">
      <c r="A227" s="50" t="s">
        <v>52</v>
      </c>
      <c r="B227" s="51" t="s">
        <v>9</v>
      </c>
      <c r="C227" s="40" t="s">
        <v>10</v>
      </c>
      <c r="D227" s="40" t="s">
        <v>51</v>
      </c>
      <c r="E227" s="51" t="s">
        <v>53</v>
      </c>
      <c r="F227" s="51" t="s">
        <v>0</v>
      </c>
      <c r="G227" s="52">
        <f t="shared" si="202"/>
        <v>0</v>
      </c>
      <c r="H227" s="52">
        <f t="shared" si="202"/>
        <v>0</v>
      </c>
      <c r="I227" s="52">
        <f t="shared" si="202"/>
        <v>0</v>
      </c>
      <c r="J227" s="52">
        <f t="shared" si="202"/>
        <v>0</v>
      </c>
      <c r="K227" s="52">
        <f t="shared" si="202"/>
        <v>0</v>
      </c>
      <c r="L227" s="52">
        <f t="shared" si="202"/>
        <v>0</v>
      </c>
      <c r="M227" s="52">
        <f t="shared" si="202"/>
        <v>0</v>
      </c>
      <c r="N227" s="52">
        <f t="shared" si="202"/>
        <v>0</v>
      </c>
      <c r="O227" s="52">
        <f t="shared" si="202"/>
        <v>0</v>
      </c>
      <c r="P227" s="52">
        <f t="shared" si="202"/>
        <v>0</v>
      </c>
      <c r="Q227" s="52">
        <f t="shared" si="202"/>
        <v>0</v>
      </c>
      <c r="R227" s="52">
        <f t="shared" si="202"/>
        <v>0</v>
      </c>
      <c r="S227" s="52">
        <f t="shared" si="202"/>
        <v>0</v>
      </c>
    </row>
    <row r="228" spans="1:19" s="53" customFormat="1" hidden="1" outlineLevel="1">
      <c r="A228" s="39" t="s">
        <v>54</v>
      </c>
      <c r="B228" s="51" t="s">
        <v>9</v>
      </c>
      <c r="C228" s="40" t="s">
        <v>10</v>
      </c>
      <c r="D228" s="40" t="s">
        <v>51</v>
      </c>
      <c r="E228" s="40" t="s">
        <v>55</v>
      </c>
      <c r="F228" s="51" t="s">
        <v>0</v>
      </c>
      <c r="G228" s="52">
        <f t="shared" si="202"/>
        <v>0</v>
      </c>
      <c r="H228" s="52">
        <f t="shared" si="202"/>
        <v>0</v>
      </c>
      <c r="I228" s="52">
        <f t="shared" si="202"/>
        <v>0</v>
      </c>
      <c r="J228" s="52">
        <f t="shared" si="202"/>
        <v>0</v>
      </c>
      <c r="K228" s="52">
        <f t="shared" si="202"/>
        <v>0</v>
      </c>
      <c r="L228" s="52">
        <f t="shared" si="202"/>
        <v>0</v>
      </c>
      <c r="M228" s="52">
        <f t="shared" si="202"/>
        <v>0</v>
      </c>
      <c r="N228" s="52">
        <f t="shared" si="202"/>
        <v>0</v>
      </c>
      <c r="O228" s="52">
        <f t="shared" si="202"/>
        <v>0</v>
      </c>
      <c r="P228" s="52">
        <f t="shared" si="202"/>
        <v>0</v>
      </c>
      <c r="Q228" s="52">
        <f t="shared" si="202"/>
        <v>0</v>
      </c>
      <c r="R228" s="52">
        <f t="shared" si="202"/>
        <v>0</v>
      </c>
      <c r="S228" s="52">
        <f t="shared" si="202"/>
        <v>0</v>
      </c>
    </row>
    <row r="229" spans="1:19" s="53" customFormat="1" ht="13.5" hidden="1" outlineLevel="1">
      <c r="A229" s="42" t="s">
        <v>58</v>
      </c>
      <c r="B229" s="54" t="s">
        <v>9</v>
      </c>
      <c r="C229" s="43" t="s">
        <v>10</v>
      </c>
      <c r="D229" s="43" t="s">
        <v>51</v>
      </c>
      <c r="E229" s="43" t="s">
        <v>59</v>
      </c>
      <c r="F229" s="54" t="s">
        <v>0</v>
      </c>
      <c r="G229" s="33">
        <f t="shared" si="202"/>
        <v>0</v>
      </c>
      <c r="H229" s="33">
        <f t="shared" si="202"/>
        <v>0</v>
      </c>
      <c r="I229" s="33">
        <f t="shared" si="202"/>
        <v>0</v>
      </c>
      <c r="J229" s="33">
        <f t="shared" si="202"/>
        <v>0</v>
      </c>
      <c r="K229" s="33">
        <f t="shared" si="202"/>
        <v>0</v>
      </c>
      <c r="L229" s="33">
        <f t="shared" si="202"/>
        <v>0</v>
      </c>
      <c r="M229" s="33">
        <f t="shared" si="202"/>
        <v>0</v>
      </c>
      <c r="N229" s="33">
        <f t="shared" si="202"/>
        <v>0</v>
      </c>
      <c r="O229" s="33">
        <f t="shared" si="202"/>
        <v>0</v>
      </c>
      <c r="P229" s="33">
        <f t="shared" si="202"/>
        <v>0</v>
      </c>
      <c r="Q229" s="33">
        <f t="shared" si="202"/>
        <v>0</v>
      </c>
      <c r="R229" s="33">
        <f t="shared" si="202"/>
        <v>0</v>
      </c>
      <c r="S229" s="33">
        <f t="shared" si="202"/>
        <v>0</v>
      </c>
    </row>
    <row r="230" spans="1:19" s="53" customFormat="1" ht="25.5" hidden="1" outlineLevel="1">
      <c r="A230" s="47" t="s">
        <v>242</v>
      </c>
      <c r="B230" s="48" t="s">
        <v>9</v>
      </c>
      <c r="C230" s="48" t="s">
        <v>10</v>
      </c>
      <c r="D230" s="48" t="s">
        <v>51</v>
      </c>
      <c r="E230" s="48" t="s">
        <v>59</v>
      </c>
      <c r="F230" s="48" t="s">
        <v>22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</row>
    <row r="231" spans="1:19" s="53" customFormat="1" collapsed="1">
      <c r="A231" s="70" t="s">
        <v>272</v>
      </c>
      <c r="B231" s="71" t="s">
        <v>9</v>
      </c>
      <c r="C231" s="71" t="s">
        <v>10</v>
      </c>
      <c r="D231" s="71" t="s">
        <v>51</v>
      </c>
      <c r="E231" s="71" t="s">
        <v>273</v>
      </c>
      <c r="F231" s="72"/>
      <c r="G231" s="52">
        <f t="shared" ref="G231:S232" si="206">G232</f>
        <v>1515955.2</v>
      </c>
      <c r="H231" s="52">
        <f t="shared" si="206"/>
        <v>0</v>
      </c>
      <c r="I231" s="52">
        <f t="shared" si="206"/>
        <v>1515955.2</v>
      </c>
      <c r="J231" s="52">
        <f t="shared" si="206"/>
        <v>0</v>
      </c>
      <c r="K231" s="52">
        <f t="shared" si="206"/>
        <v>1515955.2</v>
      </c>
      <c r="L231" s="52">
        <f t="shared" si="206"/>
        <v>0</v>
      </c>
      <c r="M231" s="52">
        <f t="shared" si="206"/>
        <v>0</v>
      </c>
      <c r="N231" s="52">
        <f t="shared" si="206"/>
        <v>0</v>
      </c>
      <c r="O231" s="52">
        <f t="shared" si="206"/>
        <v>0</v>
      </c>
      <c r="P231" s="52">
        <f t="shared" si="206"/>
        <v>0</v>
      </c>
      <c r="Q231" s="52">
        <f t="shared" si="206"/>
        <v>0</v>
      </c>
      <c r="R231" s="52">
        <f t="shared" si="206"/>
        <v>0</v>
      </c>
      <c r="S231" s="52">
        <f t="shared" si="206"/>
        <v>0</v>
      </c>
    </row>
    <row r="232" spans="1:19" s="53" customFormat="1" ht="13.5">
      <c r="A232" s="73" t="s">
        <v>274</v>
      </c>
      <c r="B232" s="74" t="s">
        <v>9</v>
      </c>
      <c r="C232" s="74" t="s">
        <v>10</v>
      </c>
      <c r="D232" s="74" t="s">
        <v>51</v>
      </c>
      <c r="E232" s="74" t="s">
        <v>275</v>
      </c>
      <c r="F232" s="72"/>
      <c r="G232" s="33">
        <f t="shared" si="206"/>
        <v>1515955.2</v>
      </c>
      <c r="H232" s="33">
        <f t="shared" si="206"/>
        <v>0</v>
      </c>
      <c r="I232" s="33">
        <f t="shared" si="206"/>
        <v>1515955.2</v>
      </c>
      <c r="J232" s="33">
        <f t="shared" si="206"/>
        <v>0</v>
      </c>
      <c r="K232" s="33">
        <f t="shared" si="206"/>
        <v>1515955.2</v>
      </c>
      <c r="L232" s="33">
        <f t="shared" si="206"/>
        <v>0</v>
      </c>
      <c r="M232" s="33">
        <f t="shared" si="206"/>
        <v>0</v>
      </c>
      <c r="N232" s="33">
        <f t="shared" si="206"/>
        <v>0</v>
      </c>
      <c r="O232" s="33">
        <f t="shared" si="206"/>
        <v>0</v>
      </c>
      <c r="P232" s="33">
        <f t="shared" si="206"/>
        <v>0</v>
      </c>
      <c r="Q232" s="33">
        <f t="shared" si="206"/>
        <v>0</v>
      </c>
      <c r="R232" s="33">
        <f t="shared" si="206"/>
        <v>0</v>
      </c>
      <c r="S232" s="33">
        <f t="shared" si="206"/>
        <v>0</v>
      </c>
    </row>
    <row r="233" spans="1:19" s="53" customFormat="1">
      <c r="A233" s="68" t="s">
        <v>21</v>
      </c>
      <c r="B233" s="72" t="s">
        <v>9</v>
      </c>
      <c r="C233" s="72" t="s">
        <v>10</v>
      </c>
      <c r="D233" s="72" t="s">
        <v>51</v>
      </c>
      <c r="E233" s="72" t="s">
        <v>275</v>
      </c>
      <c r="F233" s="72">
        <v>200</v>
      </c>
      <c r="G233" s="46">
        <v>1515955.2</v>
      </c>
      <c r="H233" s="46">
        <v>0</v>
      </c>
      <c r="I233" s="46">
        <f>G233+H233</f>
        <v>1515955.2</v>
      </c>
      <c r="J233" s="46">
        <v>0</v>
      </c>
      <c r="K233" s="46">
        <f>I233+J233</f>
        <v>1515955.2</v>
      </c>
      <c r="L233" s="46">
        <v>0</v>
      </c>
      <c r="M233" s="46">
        <v>0</v>
      </c>
      <c r="N233" s="46">
        <f>L233+M233</f>
        <v>0</v>
      </c>
      <c r="O233" s="46">
        <v>0</v>
      </c>
      <c r="P233" s="46">
        <f>N233+O233</f>
        <v>0</v>
      </c>
      <c r="Q233" s="46">
        <v>0</v>
      </c>
      <c r="R233" s="46">
        <v>0</v>
      </c>
      <c r="S233" s="46">
        <f>Q233+R233</f>
        <v>0</v>
      </c>
    </row>
    <row r="234" spans="1:19" s="17" customFormat="1">
      <c r="A234" s="14" t="s">
        <v>222</v>
      </c>
      <c r="B234" s="15" t="s">
        <v>9</v>
      </c>
      <c r="C234" s="15" t="s">
        <v>31</v>
      </c>
      <c r="D234" s="15" t="s">
        <v>0</v>
      </c>
      <c r="E234" s="15" t="s">
        <v>0</v>
      </c>
      <c r="F234" s="15" t="s">
        <v>0</v>
      </c>
      <c r="G234" s="52">
        <f t="shared" ref="G234:S234" si="207">G235+G243</f>
        <v>96349784</v>
      </c>
      <c r="H234" s="52">
        <f t="shared" si="207"/>
        <v>106375800.33</v>
      </c>
      <c r="I234" s="52">
        <f t="shared" si="207"/>
        <v>202725584.32999998</v>
      </c>
      <c r="J234" s="52">
        <f t="shared" ref="J234:K234" si="208">J235+J243</f>
        <v>-20446337.010000002</v>
      </c>
      <c r="K234" s="52">
        <f t="shared" si="208"/>
        <v>182279247.31999999</v>
      </c>
      <c r="L234" s="52">
        <f t="shared" si="207"/>
        <v>92060904.25999999</v>
      </c>
      <c r="M234" s="52">
        <f t="shared" si="207"/>
        <v>0</v>
      </c>
      <c r="N234" s="52">
        <f t="shared" si="207"/>
        <v>92060904.25999999</v>
      </c>
      <c r="O234" s="52">
        <f t="shared" ref="O234:P234" si="209">O235+O243</f>
        <v>0</v>
      </c>
      <c r="P234" s="52">
        <f t="shared" si="209"/>
        <v>92060904.25999999</v>
      </c>
      <c r="Q234" s="52">
        <f t="shared" si="207"/>
        <v>92061782.200000003</v>
      </c>
      <c r="R234" s="52">
        <f t="shared" si="207"/>
        <v>0</v>
      </c>
      <c r="S234" s="52">
        <f t="shared" si="207"/>
        <v>92061782.200000003</v>
      </c>
    </row>
    <row r="235" spans="1:19" s="17" customFormat="1">
      <c r="A235" s="14" t="s">
        <v>157</v>
      </c>
      <c r="B235" s="15" t="s">
        <v>9</v>
      </c>
      <c r="C235" s="15" t="s">
        <v>31</v>
      </c>
      <c r="D235" s="15" t="s">
        <v>107</v>
      </c>
      <c r="E235" s="15" t="s">
        <v>0</v>
      </c>
      <c r="F235" s="15" t="s">
        <v>0</v>
      </c>
      <c r="G235" s="52">
        <f t="shared" ref="G235:S235" si="210">G236</f>
        <v>2086016.39</v>
      </c>
      <c r="H235" s="52">
        <f t="shared" si="210"/>
        <v>2.5499999999999998</v>
      </c>
      <c r="I235" s="52">
        <f t="shared" si="210"/>
        <v>2086018.94</v>
      </c>
      <c r="J235" s="52">
        <f t="shared" si="210"/>
        <v>0</v>
      </c>
      <c r="K235" s="52">
        <f t="shared" si="210"/>
        <v>2086018.94</v>
      </c>
      <c r="L235" s="52">
        <f t="shared" si="210"/>
        <v>0</v>
      </c>
      <c r="M235" s="52">
        <f t="shared" si="210"/>
        <v>0</v>
      </c>
      <c r="N235" s="52">
        <f t="shared" si="210"/>
        <v>0</v>
      </c>
      <c r="O235" s="52">
        <f t="shared" si="210"/>
        <v>0</v>
      </c>
      <c r="P235" s="52">
        <f t="shared" si="210"/>
        <v>0</v>
      </c>
      <c r="Q235" s="52">
        <f t="shared" si="210"/>
        <v>0</v>
      </c>
      <c r="R235" s="52">
        <f t="shared" si="210"/>
        <v>0</v>
      </c>
      <c r="S235" s="52">
        <f t="shared" si="210"/>
        <v>0</v>
      </c>
    </row>
    <row r="236" spans="1:19" s="17" customFormat="1" ht="25.5">
      <c r="A236" s="14" t="s">
        <v>158</v>
      </c>
      <c r="B236" s="15" t="s">
        <v>9</v>
      </c>
      <c r="C236" s="15" t="s">
        <v>31</v>
      </c>
      <c r="D236" s="15" t="s">
        <v>107</v>
      </c>
      <c r="E236" s="15" t="s">
        <v>159</v>
      </c>
      <c r="F236" s="15" t="s">
        <v>0</v>
      </c>
      <c r="G236" s="52">
        <f t="shared" ref="G236:S236" si="211">G237+G240</f>
        <v>2086016.39</v>
      </c>
      <c r="H236" s="52">
        <f t="shared" si="211"/>
        <v>2.5499999999999998</v>
      </c>
      <c r="I236" s="52">
        <f t="shared" si="211"/>
        <v>2086018.94</v>
      </c>
      <c r="J236" s="52">
        <f t="shared" ref="J236:K236" si="212">J237+J240</f>
        <v>0</v>
      </c>
      <c r="K236" s="52">
        <f t="shared" si="212"/>
        <v>2086018.94</v>
      </c>
      <c r="L236" s="52">
        <f t="shared" si="211"/>
        <v>0</v>
      </c>
      <c r="M236" s="52">
        <f t="shared" si="211"/>
        <v>0</v>
      </c>
      <c r="N236" s="52">
        <f t="shared" si="211"/>
        <v>0</v>
      </c>
      <c r="O236" s="52">
        <f t="shared" ref="O236:P236" si="213">O237+O240</f>
        <v>0</v>
      </c>
      <c r="P236" s="52">
        <f t="shared" si="213"/>
        <v>0</v>
      </c>
      <c r="Q236" s="52">
        <f t="shared" si="211"/>
        <v>0</v>
      </c>
      <c r="R236" s="52">
        <f t="shared" si="211"/>
        <v>0</v>
      </c>
      <c r="S236" s="52">
        <f t="shared" si="211"/>
        <v>0</v>
      </c>
    </row>
    <row r="237" spans="1:19" s="17" customFormat="1" ht="25.5" hidden="1" outlineLevel="1">
      <c r="A237" s="14" t="s">
        <v>160</v>
      </c>
      <c r="B237" s="15" t="s">
        <v>9</v>
      </c>
      <c r="C237" s="15" t="s">
        <v>31</v>
      </c>
      <c r="D237" s="15" t="s">
        <v>107</v>
      </c>
      <c r="E237" s="15" t="s">
        <v>161</v>
      </c>
      <c r="F237" s="15" t="s">
        <v>0</v>
      </c>
      <c r="G237" s="52">
        <f t="shared" ref="G237:S238" si="214">G238</f>
        <v>0</v>
      </c>
      <c r="H237" s="52">
        <f t="shared" si="214"/>
        <v>0</v>
      </c>
      <c r="I237" s="52">
        <f t="shared" si="214"/>
        <v>0</v>
      </c>
      <c r="J237" s="52">
        <f t="shared" si="214"/>
        <v>0</v>
      </c>
      <c r="K237" s="52">
        <f t="shared" si="214"/>
        <v>0</v>
      </c>
      <c r="L237" s="52">
        <f t="shared" si="214"/>
        <v>0</v>
      </c>
      <c r="M237" s="52">
        <f t="shared" si="214"/>
        <v>0</v>
      </c>
      <c r="N237" s="52">
        <f t="shared" si="214"/>
        <v>0</v>
      </c>
      <c r="O237" s="52">
        <f t="shared" si="214"/>
        <v>0</v>
      </c>
      <c r="P237" s="52">
        <f t="shared" si="214"/>
        <v>0</v>
      </c>
      <c r="Q237" s="52">
        <f t="shared" si="214"/>
        <v>0</v>
      </c>
      <c r="R237" s="52">
        <f t="shared" si="214"/>
        <v>0</v>
      </c>
      <c r="S237" s="52">
        <f t="shared" si="214"/>
        <v>0</v>
      </c>
    </row>
    <row r="238" spans="1:19" s="17" customFormat="1" ht="54" hidden="1" outlineLevel="1">
      <c r="A238" s="18" t="s">
        <v>162</v>
      </c>
      <c r="B238" s="19" t="s">
        <v>9</v>
      </c>
      <c r="C238" s="19" t="s">
        <v>31</v>
      </c>
      <c r="D238" s="19" t="s">
        <v>107</v>
      </c>
      <c r="E238" s="19" t="s">
        <v>163</v>
      </c>
      <c r="F238" s="19" t="s">
        <v>0</v>
      </c>
      <c r="G238" s="33">
        <f t="shared" si="214"/>
        <v>0</v>
      </c>
      <c r="H238" s="33">
        <f t="shared" si="214"/>
        <v>0</v>
      </c>
      <c r="I238" s="33">
        <f t="shared" si="214"/>
        <v>0</v>
      </c>
      <c r="J238" s="33">
        <f t="shared" si="214"/>
        <v>0</v>
      </c>
      <c r="K238" s="33">
        <f t="shared" si="214"/>
        <v>0</v>
      </c>
      <c r="L238" s="33">
        <f t="shared" si="214"/>
        <v>0</v>
      </c>
      <c r="M238" s="33">
        <f t="shared" si="214"/>
        <v>0</v>
      </c>
      <c r="N238" s="33">
        <f t="shared" si="214"/>
        <v>0</v>
      </c>
      <c r="O238" s="33">
        <f t="shared" si="214"/>
        <v>0</v>
      </c>
      <c r="P238" s="33">
        <f t="shared" si="214"/>
        <v>0</v>
      </c>
      <c r="Q238" s="33">
        <f t="shared" si="214"/>
        <v>0</v>
      </c>
      <c r="R238" s="33">
        <f t="shared" si="214"/>
        <v>0</v>
      </c>
      <c r="S238" s="33">
        <f t="shared" si="214"/>
        <v>0</v>
      </c>
    </row>
    <row r="239" spans="1:19" s="17" customFormat="1" hidden="1" outlineLevel="1">
      <c r="A239" s="21" t="s">
        <v>21</v>
      </c>
      <c r="B239" s="22" t="s">
        <v>9</v>
      </c>
      <c r="C239" s="22" t="s">
        <v>31</v>
      </c>
      <c r="D239" s="22" t="s">
        <v>107</v>
      </c>
      <c r="E239" s="22" t="s">
        <v>163</v>
      </c>
      <c r="F239" s="22" t="s">
        <v>22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</row>
    <row r="240" spans="1:19" s="17" customFormat="1" collapsed="1">
      <c r="A240" s="14" t="s">
        <v>234</v>
      </c>
      <c r="B240" s="15" t="s">
        <v>9</v>
      </c>
      <c r="C240" s="15" t="s">
        <v>31</v>
      </c>
      <c r="D240" s="15" t="s">
        <v>107</v>
      </c>
      <c r="E240" s="15" t="s">
        <v>233</v>
      </c>
      <c r="F240" s="15" t="s">
        <v>0</v>
      </c>
      <c r="G240" s="52">
        <f t="shared" ref="G240:S241" si="215">G241</f>
        <v>2086016.39</v>
      </c>
      <c r="H240" s="52">
        <f t="shared" si="215"/>
        <v>2.5499999999999998</v>
      </c>
      <c r="I240" s="52">
        <f t="shared" si="215"/>
        <v>2086018.94</v>
      </c>
      <c r="J240" s="52">
        <f t="shared" si="215"/>
        <v>0</v>
      </c>
      <c r="K240" s="52">
        <f t="shared" si="215"/>
        <v>2086018.94</v>
      </c>
      <c r="L240" s="52">
        <f t="shared" si="215"/>
        <v>0</v>
      </c>
      <c r="M240" s="52">
        <f t="shared" si="215"/>
        <v>0</v>
      </c>
      <c r="N240" s="52">
        <f t="shared" si="215"/>
        <v>0</v>
      </c>
      <c r="O240" s="52">
        <f t="shared" si="215"/>
        <v>0</v>
      </c>
      <c r="P240" s="52">
        <f t="shared" si="215"/>
        <v>0</v>
      </c>
      <c r="Q240" s="52">
        <f t="shared" si="215"/>
        <v>0</v>
      </c>
      <c r="R240" s="52">
        <f t="shared" si="215"/>
        <v>0</v>
      </c>
      <c r="S240" s="52">
        <f t="shared" si="215"/>
        <v>0</v>
      </c>
    </row>
    <row r="241" spans="1:19" s="17" customFormat="1" ht="54">
      <c r="A241" s="18" t="s">
        <v>162</v>
      </c>
      <c r="B241" s="19" t="s">
        <v>9</v>
      </c>
      <c r="C241" s="19" t="s">
        <v>31</v>
      </c>
      <c r="D241" s="19" t="s">
        <v>107</v>
      </c>
      <c r="E241" s="19" t="s">
        <v>232</v>
      </c>
      <c r="F241" s="19" t="s">
        <v>0</v>
      </c>
      <c r="G241" s="33">
        <f t="shared" si="215"/>
        <v>2086016.39</v>
      </c>
      <c r="H241" s="33">
        <f t="shared" si="215"/>
        <v>2.5499999999999998</v>
      </c>
      <c r="I241" s="33">
        <f t="shared" si="215"/>
        <v>2086018.94</v>
      </c>
      <c r="J241" s="33">
        <f t="shared" si="215"/>
        <v>0</v>
      </c>
      <c r="K241" s="33">
        <f t="shared" si="215"/>
        <v>2086018.94</v>
      </c>
      <c r="L241" s="33">
        <f t="shared" si="215"/>
        <v>0</v>
      </c>
      <c r="M241" s="33">
        <f t="shared" si="215"/>
        <v>0</v>
      </c>
      <c r="N241" s="33">
        <f t="shared" si="215"/>
        <v>0</v>
      </c>
      <c r="O241" s="33">
        <f t="shared" si="215"/>
        <v>0</v>
      </c>
      <c r="P241" s="33">
        <f t="shared" si="215"/>
        <v>0</v>
      </c>
      <c r="Q241" s="33">
        <f t="shared" si="215"/>
        <v>0</v>
      </c>
      <c r="R241" s="33">
        <f t="shared" si="215"/>
        <v>0</v>
      </c>
      <c r="S241" s="33">
        <f t="shared" si="215"/>
        <v>0</v>
      </c>
    </row>
    <row r="242" spans="1:19" s="17" customFormat="1">
      <c r="A242" s="21" t="s">
        <v>21</v>
      </c>
      <c r="B242" s="22" t="s">
        <v>9</v>
      </c>
      <c r="C242" s="22" t="s">
        <v>31</v>
      </c>
      <c r="D242" s="22" t="s">
        <v>107</v>
      </c>
      <c r="E242" s="22" t="s">
        <v>232</v>
      </c>
      <c r="F242" s="22" t="s">
        <v>22</v>
      </c>
      <c r="G242" s="46">
        <v>2086016.39</v>
      </c>
      <c r="H242" s="46">
        <v>2.5499999999999998</v>
      </c>
      <c r="I242" s="46">
        <f>G242+H242</f>
        <v>2086018.94</v>
      </c>
      <c r="J242" s="46">
        <v>0</v>
      </c>
      <c r="K242" s="46">
        <f>I242+J242</f>
        <v>2086018.94</v>
      </c>
      <c r="L242" s="46">
        <v>0</v>
      </c>
      <c r="M242" s="46">
        <v>0</v>
      </c>
      <c r="N242" s="46">
        <f>L242+M242</f>
        <v>0</v>
      </c>
      <c r="O242" s="46">
        <v>0</v>
      </c>
      <c r="P242" s="46">
        <f>N242+O242</f>
        <v>0</v>
      </c>
      <c r="Q242" s="46">
        <v>0</v>
      </c>
      <c r="R242" s="46">
        <v>0</v>
      </c>
      <c r="S242" s="46">
        <f>Q242+R242</f>
        <v>0</v>
      </c>
    </row>
    <row r="243" spans="1:19" s="17" customFormat="1">
      <c r="A243" s="14" t="s">
        <v>164</v>
      </c>
      <c r="B243" s="15" t="s">
        <v>9</v>
      </c>
      <c r="C243" s="15" t="s">
        <v>31</v>
      </c>
      <c r="D243" s="15" t="s">
        <v>165</v>
      </c>
      <c r="E243" s="15" t="s">
        <v>0</v>
      </c>
      <c r="F243" s="15" t="s">
        <v>0</v>
      </c>
      <c r="G243" s="52">
        <f t="shared" ref="G243:S243" si="216">G244+G248</f>
        <v>94263767.609999999</v>
      </c>
      <c r="H243" s="52">
        <f t="shared" si="216"/>
        <v>106375797.78</v>
      </c>
      <c r="I243" s="52">
        <f t="shared" si="216"/>
        <v>200639565.38999999</v>
      </c>
      <c r="J243" s="52">
        <f t="shared" ref="J243:K243" si="217">J244+J248</f>
        <v>-20446337.010000002</v>
      </c>
      <c r="K243" s="52">
        <f t="shared" si="217"/>
        <v>180193228.38</v>
      </c>
      <c r="L243" s="52">
        <f t="shared" si="216"/>
        <v>92060904.25999999</v>
      </c>
      <c r="M243" s="52">
        <f t="shared" si="216"/>
        <v>0</v>
      </c>
      <c r="N243" s="52">
        <f t="shared" si="216"/>
        <v>92060904.25999999</v>
      </c>
      <c r="O243" s="52">
        <f t="shared" ref="O243:P243" si="218">O244+O248</f>
        <v>0</v>
      </c>
      <c r="P243" s="52">
        <f t="shared" si="218"/>
        <v>92060904.25999999</v>
      </c>
      <c r="Q243" s="52">
        <f t="shared" si="216"/>
        <v>92061782.200000003</v>
      </c>
      <c r="R243" s="52">
        <f t="shared" si="216"/>
        <v>0</v>
      </c>
      <c r="S243" s="52">
        <f t="shared" si="216"/>
        <v>92061782.200000003</v>
      </c>
    </row>
    <row r="244" spans="1:19" s="17" customFormat="1">
      <c r="A244" s="14" t="s">
        <v>166</v>
      </c>
      <c r="B244" s="15" t="s">
        <v>9</v>
      </c>
      <c r="C244" s="15" t="s">
        <v>31</v>
      </c>
      <c r="D244" s="15" t="s">
        <v>165</v>
      </c>
      <c r="E244" s="15" t="s">
        <v>167</v>
      </c>
      <c r="F244" s="15" t="s">
        <v>0</v>
      </c>
      <c r="G244" s="52">
        <f t="shared" ref="G244:K246" si="219">G245</f>
        <v>8219763.9400000004</v>
      </c>
      <c r="H244" s="52">
        <f t="shared" si="219"/>
        <v>0</v>
      </c>
      <c r="I244" s="52">
        <f t="shared" si="219"/>
        <v>8219763.9400000004</v>
      </c>
      <c r="J244" s="52">
        <f t="shared" si="219"/>
        <v>0</v>
      </c>
      <c r="K244" s="52">
        <f t="shared" si="219"/>
        <v>8219763.9400000004</v>
      </c>
      <c r="L244" s="52">
        <f t="shared" ref="L244:S246" si="220">L245</f>
        <v>4078281</v>
      </c>
      <c r="M244" s="52">
        <f t="shared" si="220"/>
        <v>0</v>
      </c>
      <c r="N244" s="52">
        <f t="shared" si="220"/>
        <v>4078281</v>
      </c>
      <c r="O244" s="52">
        <f t="shared" si="220"/>
        <v>0</v>
      </c>
      <c r="P244" s="52">
        <f t="shared" si="220"/>
        <v>4078281</v>
      </c>
      <c r="Q244" s="52">
        <f t="shared" si="220"/>
        <v>4078281</v>
      </c>
      <c r="R244" s="52">
        <f t="shared" si="220"/>
        <v>0</v>
      </c>
      <c r="S244" s="52">
        <f t="shared" si="220"/>
        <v>4078281</v>
      </c>
    </row>
    <row r="245" spans="1:19" s="17" customFormat="1">
      <c r="A245" s="14" t="s">
        <v>168</v>
      </c>
      <c r="B245" s="15" t="s">
        <v>9</v>
      </c>
      <c r="C245" s="15" t="s">
        <v>31</v>
      </c>
      <c r="D245" s="15" t="s">
        <v>165</v>
      </c>
      <c r="E245" s="15" t="s">
        <v>169</v>
      </c>
      <c r="F245" s="15" t="s">
        <v>0</v>
      </c>
      <c r="G245" s="52">
        <f t="shared" si="219"/>
        <v>8219763.9400000004</v>
      </c>
      <c r="H245" s="52">
        <f t="shared" si="219"/>
        <v>0</v>
      </c>
      <c r="I245" s="52">
        <f t="shared" si="219"/>
        <v>8219763.9400000004</v>
      </c>
      <c r="J245" s="52">
        <f t="shared" si="219"/>
        <v>0</v>
      </c>
      <c r="K245" s="52">
        <f t="shared" si="219"/>
        <v>8219763.9400000004</v>
      </c>
      <c r="L245" s="52">
        <f t="shared" si="220"/>
        <v>4078281</v>
      </c>
      <c r="M245" s="52">
        <f t="shared" si="220"/>
        <v>0</v>
      </c>
      <c r="N245" s="52">
        <f t="shared" si="220"/>
        <v>4078281</v>
      </c>
      <c r="O245" s="52">
        <f t="shared" si="220"/>
        <v>0</v>
      </c>
      <c r="P245" s="52">
        <f t="shared" si="220"/>
        <v>4078281</v>
      </c>
      <c r="Q245" s="52">
        <f t="shared" si="220"/>
        <v>4078281</v>
      </c>
      <c r="R245" s="52">
        <f t="shared" si="220"/>
        <v>0</v>
      </c>
      <c r="S245" s="52">
        <f t="shared" si="220"/>
        <v>4078281</v>
      </c>
    </row>
    <row r="246" spans="1:19" s="17" customFormat="1" ht="27">
      <c r="A246" s="18" t="s">
        <v>170</v>
      </c>
      <c r="B246" s="19" t="s">
        <v>9</v>
      </c>
      <c r="C246" s="19" t="s">
        <v>31</v>
      </c>
      <c r="D246" s="19" t="s">
        <v>165</v>
      </c>
      <c r="E246" s="19" t="s">
        <v>171</v>
      </c>
      <c r="F246" s="19" t="s">
        <v>0</v>
      </c>
      <c r="G246" s="33">
        <f t="shared" si="219"/>
        <v>8219763.9400000004</v>
      </c>
      <c r="H246" s="33">
        <f t="shared" si="219"/>
        <v>0</v>
      </c>
      <c r="I246" s="33">
        <f t="shared" si="219"/>
        <v>8219763.9400000004</v>
      </c>
      <c r="J246" s="33">
        <f t="shared" si="219"/>
        <v>0</v>
      </c>
      <c r="K246" s="33">
        <f t="shared" si="219"/>
        <v>8219763.9400000004</v>
      </c>
      <c r="L246" s="33">
        <f t="shared" si="220"/>
        <v>4078281</v>
      </c>
      <c r="M246" s="33">
        <f t="shared" si="220"/>
        <v>0</v>
      </c>
      <c r="N246" s="33">
        <f t="shared" si="220"/>
        <v>4078281</v>
      </c>
      <c r="O246" s="33">
        <f t="shared" si="220"/>
        <v>0</v>
      </c>
      <c r="P246" s="33">
        <f t="shared" si="220"/>
        <v>4078281</v>
      </c>
      <c r="Q246" s="33">
        <f t="shared" si="220"/>
        <v>4078281</v>
      </c>
      <c r="R246" s="33">
        <f t="shared" si="220"/>
        <v>0</v>
      </c>
      <c r="S246" s="33">
        <f t="shared" si="220"/>
        <v>4078281</v>
      </c>
    </row>
    <row r="247" spans="1:19" s="17" customFormat="1">
      <c r="A247" s="21" t="s">
        <v>21</v>
      </c>
      <c r="B247" s="22" t="s">
        <v>9</v>
      </c>
      <c r="C247" s="22" t="s">
        <v>31</v>
      </c>
      <c r="D247" s="22" t="s">
        <v>165</v>
      </c>
      <c r="E247" s="22" t="s">
        <v>171</v>
      </c>
      <c r="F247" s="22" t="s">
        <v>22</v>
      </c>
      <c r="G247" s="46">
        <v>8219763.9400000004</v>
      </c>
      <c r="H247" s="46">
        <v>0</v>
      </c>
      <c r="I247" s="46">
        <f>G247+H247</f>
        <v>8219763.9400000004</v>
      </c>
      <c r="J247" s="46">
        <v>0</v>
      </c>
      <c r="K247" s="46">
        <f>I247+J247</f>
        <v>8219763.9400000004</v>
      </c>
      <c r="L247" s="46">
        <v>4078281</v>
      </c>
      <c r="M247" s="46">
        <v>0</v>
      </c>
      <c r="N247" s="46">
        <f>L247+M247</f>
        <v>4078281</v>
      </c>
      <c r="O247" s="46">
        <v>0</v>
      </c>
      <c r="P247" s="46">
        <f>N247+O247</f>
        <v>4078281</v>
      </c>
      <c r="Q247" s="46">
        <v>4078281</v>
      </c>
      <c r="R247" s="46">
        <v>0</v>
      </c>
      <c r="S247" s="46">
        <f>Q247+R247</f>
        <v>4078281</v>
      </c>
    </row>
    <row r="248" spans="1:19" s="17" customFormat="1" ht="25.5">
      <c r="A248" s="14" t="s">
        <v>172</v>
      </c>
      <c r="B248" s="15" t="s">
        <v>9</v>
      </c>
      <c r="C248" s="15" t="s">
        <v>31</v>
      </c>
      <c r="D248" s="15" t="s">
        <v>165</v>
      </c>
      <c r="E248" s="15" t="s">
        <v>173</v>
      </c>
      <c r="F248" s="15" t="s">
        <v>0</v>
      </c>
      <c r="G248" s="52">
        <f t="shared" ref="G248:S248" si="221">G249</f>
        <v>86044003.670000002</v>
      </c>
      <c r="H248" s="52">
        <f t="shared" si="221"/>
        <v>106375797.78</v>
      </c>
      <c r="I248" s="52">
        <f t="shared" si="221"/>
        <v>192419801.44999999</v>
      </c>
      <c r="J248" s="52">
        <f t="shared" si="221"/>
        <v>-20446337.010000002</v>
      </c>
      <c r="K248" s="52">
        <f t="shared" si="221"/>
        <v>171973464.44</v>
      </c>
      <c r="L248" s="52">
        <f t="shared" si="221"/>
        <v>87982623.25999999</v>
      </c>
      <c r="M248" s="52">
        <f t="shared" si="221"/>
        <v>0</v>
      </c>
      <c r="N248" s="52">
        <f t="shared" si="221"/>
        <v>87982623.25999999</v>
      </c>
      <c r="O248" s="52">
        <f t="shared" si="221"/>
        <v>0</v>
      </c>
      <c r="P248" s="52">
        <f t="shared" si="221"/>
        <v>87982623.25999999</v>
      </c>
      <c r="Q248" s="52">
        <f t="shared" si="221"/>
        <v>87983501.200000003</v>
      </c>
      <c r="R248" s="52">
        <f t="shared" si="221"/>
        <v>0</v>
      </c>
      <c r="S248" s="52">
        <f t="shared" si="221"/>
        <v>87983501.200000003</v>
      </c>
    </row>
    <row r="249" spans="1:19" s="17" customFormat="1">
      <c r="A249" s="14" t="s">
        <v>174</v>
      </c>
      <c r="B249" s="15" t="s">
        <v>9</v>
      </c>
      <c r="C249" s="15" t="s">
        <v>31</v>
      </c>
      <c r="D249" s="15" t="s">
        <v>165</v>
      </c>
      <c r="E249" s="15" t="s">
        <v>175</v>
      </c>
      <c r="F249" s="15" t="s">
        <v>0</v>
      </c>
      <c r="G249" s="52">
        <f t="shared" ref="G249:S249" si="222">G250+G253</f>
        <v>86044003.670000002</v>
      </c>
      <c r="H249" s="52">
        <f t="shared" si="222"/>
        <v>106375797.78</v>
      </c>
      <c r="I249" s="52">
        <f t="shared" si="222"/>
        <v>192419801.44999999</v>
      </c>
      <c r="J249" s="52">
        <f t="shared" ref="J249:K249" si="223">J250+J253</f>
        <v>-20446337.010000002</v>
      </c>
      <c r="K249" s="52">
        <f t="shared" si="223"/>
        <v>171973464.44</v>
      </c>
      <c r="L249" s="52">
        <f t="shared" si="222"/>
        <v>87982623.25999999</v>
      </c>
      <c r="M249" s="52">
        <f t="shared" si="222"/>
        <v>0</v>
      </c>
      <c r="N249" s="52">
        <f t="shared" si="222"/>
        <v>87982623.25999999</v>
      </c>
      <c r="O249" s="52">
        <f t="shared" ref="O249:P249" si="224">O250+O253</f>
        <v>0</v>
      </c>
      <c r="P249" s="52">
        <f t="shared" si="224"/>
        <v>87982623.25999999</v>
      </c>
      <c r="Q249" s="52">
        <f t="shared" si="222"/>
        <v>87983501.200000003</v>
      </c>
      <c r="R249" s="52">
        <f t="shared" si="222"/>
        <v>0</v>
      </c>
      <c r="S249" s="52">
        <f t="shared" si="222"/>
        <v>87983501.200000003</v>
      </c>
    </row>
    <row r="250" spans="1:19" s="17" customFormat="1" ht="27">
      <c r="A250" s="18" t="s">
        <v>176</v>
      </c>
      <c r="B250" s="19" t="s">
        <v>9</v>
      </c>
      <c r="C250" s="19" t="s">
        <v>31</v>
      </c>
      <c r="D250" s="19" t="s">
        <v>165</v>
      </c>
      <c r="E250" s="19" t="s">
        <v>177</v>
      </c>
      <c r="F250" s="19" t="s">
        <v>0</v>
      </c>
      <c r="G250" s="33">
        <f t="shared" ref="G250:S250" si="225">G251+G252</f>
        <v>86044003.670000002</v>
      </c>
      <c r="H250" s="33">
        <f t="shared" si="225"/>
        <v>106375797.78</v>
      </c>
      <c r="I250" s="33">
        <f t="shared" si="225"/>
        <v>192419801.44999999</v>
      </c>
      <c r="J250" s="33">
        <f t="shared" ref="J250:K250" si="226">J251+J252</f>
        <v>-20446337.010000002</v>
      </c>
      <c r="K250" s="33">
        <f t="shared" si="226"/>
        <v>171973464.44</v>
      </c>
      <c r="L250" s="33">
        <f t="shared" si="225"/>
        <v>87982623.25999999</v>
      </c>
      <c r="M250" s="33">
        <f t="shared" si="225"/>
        <v>0</v>
      </c>
      <c r="N250" s="33">
        <f t="shared" si="225"/>
        <v>87982623.25999999</v>
      </c>
      <c r="O250" s="33">
        <f t="shared" ref="O250:P250" si="227">O251+O252</f>
        <v>0</v>
      </c>
      <c r="P250" s="33">
        <f t="shared" si="227"/>
        <v>87982623.25999999</v>
      </c>
      <c r="Q250" s="78">
        <f t="shared" si="225"/>
        <v>87983501.200000003</v>
      </c>
      <c r="R250" s="33">
        <f t="shared" si="225"/>
        <v>0</v>
      </c>
      <c r="S250" s="33">
        <f t="shared" si="225"/>
        <v>87983501.200000003</v>
      </c>
    </row>
    <row r="251" spans="1:19" s="17" customFormat="1">
      <c r="A251" s="21" t="s">
        <v>21</v>
      </c>
      <c r="B251" s="22" t="s">
        <v>9</v>
      </c>
      <c r="C251" s="22" t="s">
        <v>31</v>
      </c>
      <c r="D251" s="22" t="s">
        <v>165</v>
      </c>
      <c r="E251" s="22" t="s">
        <v>177</v>
      </c>
      <c r="F251" s="22" t="s">
        <v>22</v>
      </c>
      <c r="G251" s="46">
        <f>82878115.83+2570887.84</f>
        <v>85449003.670000002</v>
      </c>
      <c r="H251" s="46">
        <f>567975.98-91309.22-173026.28-150772.55-313533.33-199150-312000-2570887.84+1186.56+7452670.2+719352.94+682348.03+723068.36+39874.93</f>
        <v>6375797.7800000012</v>
      </c>
      <c r="I251" s="46">
        <f>G251+H251</f>
        <v>91824801.450000003</v>
      </c>
      <c r="J251" s="46">
        <f>-168000+80832.99</f>
        <v>-87167.01</v>
      </c>
      <c r="K251" s="46">
        <f>I251+J251</f>
        <v>91737634.439999998</v>
      </c>
      <c r="L251" s="81">
        <f>85407242.91+2575380.35</f>
        <v>87982623.25999999</v>
      </c>
      <c r="M251" s="81">
        <v>0</v>
      </c>
      <c r="N251" s="81">
        <f>L251+M251</f>
        <v>87982623.25999999</v>
      </c>
      <c r="O251" s="81">
        <v>0</v>
      </c>
      <c r="P251" s="81">
        <f>N251+O251</f>
        <v>87982623.25999999</v>
      </c>
      <c r="Q251" s="82">
        <f>85407242.91+2576258.29</f>
        <v>87983501.200000003</v>
      </c>
      <c r="R251" s="81">
        <v>0</v>
      </c>
      <c r="S251" s="81">
        <f>Q251+R251</f>
        <v>87983501.200000003</v>
      </c>
    </row>
    <row r="252" spans="1:19" s="17" customFormat="1" outlineLevel="1">
      <c r="A252" s="21" t="s">
        <v>38</v>
      </c>
      <c r="B252" s="22" t="s">
        <v>9</v>
      </c>
      <c r="C252" s="22" t="s">
        <v>31</v>
      </c>
      <c r="D252" s="22" t="s">
        <v>165</v>
      </c>
      <c r="E252" s="22" t="s">
        <v>177</v>
      </c>
      <c r="F252" s="48" t="s">
        <v>39</v>
      </c>
      <c r="G252" s="46">
        <v>595000</v>
      </c>
      <c r="H252" s="46">
        <v>100000000</v>
      </c>
      <c r="I252" s="46">
        <f>G252+H252</f>
        <v>100595000</v>
      </c>
      <c r="J252" s="46">
        <f>-20359170</f>
        <v>-20359170</v>
      </c>
      <c r="K252" s="46">
        <f>I252+J252</f>
        <v>80235830</v>
      </c>
      <c r="L252" s="46">
        <v>0</v>
      </c>
      <c r="M252" s="46">
        <v>0</v>
      </c>
      <c r="N252" s="81">
        <f>L252+M252</f>
        <v>0</v>
      </c>
      <c r="O252" s="46">
        <v>0</v>
      </c>
      <c r="P252" s="81">
        <f>N252+O252</f>
        <v>0</v>
      </c>
      <c r="Q252" s="79">
        <v>0</v>
      </c>
      <c r="R252" s="46">
        <v>0</v>
      </c>
      <c r="S252" s="81">
        <f>Q252+R252</f>
        <v>0</v>
      </c>
    </row>
    <row r="253" spans="1:19" s="17" customFormat="1" ht="26.25" hidden="1" customHeight="1" outlineLevel="3">
      <c r="A253" s="18" t="s">
        <v>178</v>
      </c>
      <c r="B253" s="19" t="s">
        <v>9</v>
      </c>
      <c r="C253" s="19" t="s">
        <v>31</v>
      </c>
      <c r="D253" s="19" t="s">
        <v>165</v>
      </c>
      <c r="E253" s="19" t="s">
        <v>179</v>
      </c>
      <c r="F253" s="19" t="s">
        <v>0</v>
      </c>
      <c r="G253" s="33">
        <f t="shared" ref="G253:S253" si="228">G254</f>
        <v>0</v>
      </c>
      <c r="H253" s="33">
        <f t="shared" si="228"/>
        <v>0</v>
      </c>
      <c r="I253" s="33">
        <f t="shared" si="228"/>
        <v>0</v>
      </c>
      <c r="J253" s="33">
        <f t="shared" si="228"/>
        <v>0</v>
      </c>
      <c r="K253" s="33">
        <f t="shared" si="228"/>
        <v>0</v>
      </c>
      <c r="L253" s="33">
        <f t="shared" si="228"/>
        <v>0</v>
      </c>
      <c r="M253" s="33">
        <f t="shared" si="228"/>
        <v>0</v>
      </c>
      <c r="N253" s="33">
        <f t="shared" si="228"/>
        <v>0</v>
      </c>
      <c r="O253" s="33">
        <f t="shared" si="228"/>
        <v>0</v>
      </c>
      <c r="P253" s="33">
        <f t="shared" si="228"/>
        <v>0</v>
      </c>
      <c r="Q253" s="33">
        <f t="shared" si="228"/>
        <v>0</v>
      </c>
      <c r="R253" s="33">
        <f t="shared" si="228"/>
        <v>0</v>
      </c>
      <c r="S253" s="33">
        <f t="shared" si="228"/>
        <v>0</v>
      </c>
    </row>
    <row r="254" spans="1:19" s="17" customFormat="1" ht="13.5" hidden="1" customHeight="1" outlineLevel="1" collapsed="1">
      <c r="A254" s="21" t="s">
        <v>21</v>
      </c>
      <c r="B254" s="22" t="s">
        <v>9</v>
      </c>
      <c r="C254" s="22" t="s">
        <v>31</v>
      </c>
      <c r="D254" s="22" t="s">
        <v>165</v>
      </c>
      <c r="E254" s="22" t="s">
        <v>179</v>
      </c>
      <c r="F254" s="22" t="s">
        <v>22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</row>
    <row r="255" spans="1:19" s="17" customFormat="1" collapsed="1">
      <c r="A255" s="14" t="s">
        <v>223</v>
      </c>
      <c r="B255" s="15" t="s">
        <v>9</v>
      </c>
      <c r="C255" s="15" t="s">
        <v>107</v>
      </c>
      <c r="D255" s="15" t="s">
        <v>0</v>
      </c>
      <c r="E255" s="15" t="s">
        <v>0</v>
      </c>
      <c r="F255" s="15" t="s">
        <v>0</v>
      </c>
      <c r="G255" s="52">
        <f t="shared" ref="G255:S255" si="229">G256+G278+G297+G327</f>
        <v>169359144.41000003</v>
      </c>
      <c r="H255" s="52">
        <f t="shared" si="229"/>
        <v>141241921.15999997</v>
      </c>
      <c r="I255" s="52">
        <f t="shared" si="229"/>
        <v>310601065.56999999</v>
      </c>
      <c r="J255" s="52">
        <f t="shared" si="229"/>
        <v>21670973.659999996</v>
      </c>
      <c r="K255" s="52">
        <f t="shared" si="229"/>
        <v>332272039.23000002</v>
      </c>
      <c r="L255" s="52">
        <f t="shared" si="229"/>
        <v>130265344.39</v>
      </c>
      <c r="M255" s="52">
        <f t="shared" si="229"/>
        <v>0</v>
      </c>
      <c r="N255" s="52">
        <f t="shared" si="229"/>
        <v>130265344.39</v>
      </c>
      <c r="O255" s="52">
        <f t="shared" si="229"/>
        <v>0</v>
      </c>
      <c r="P255" s="52">
        <f t="shared" si="229"/>
        <v>130265344.39</v>
      </c>
      <c r="Q255" s="52">
        <f t="shared" si="229"/>
        <v>131902870.13000001</v>
      </c>
      <c r="R255" s="52">
        <f t="shared" si="229"/>
        <v>0</v>
      </c>
      <c r="S255" s="52">
        <f t="shared" si="229"/>
        <v>131902870.13000001</v>
      </c>
    </row>
    <row r="256" spans="1:19" s="17" customFormat="1">
      <c r="A256" s="14" t="s">
        <v>108</v>
      </c>
      <c r="B256" s="15" t="s">
        <v>9</v>
      </c>
      <c r="C256" s="15" t="s">
        <v>107</v>
      </c>
      <c r="D256" s="15" t="s">
        <v>10</v>
      </c>
      <c r="E256" s="15" t="s">
        <v>0</v>
      </c>
      <c r="F256" s="15" t="s">
        <v>0</v>
      </c>
      <c r="G256" s="52">
        <f t="shared" ref="G256:S256" si="230">G257</f>
        <v>12049335.99</v>
      </c>
      <c r="H256" s="52">
        <f t="shared" si="230"/>
        <v>20896333.239999998</v>
      </c>
      <c r="I256" s="52">
        <f t="shared" si="230"/>
        <v>32945669.23</v>
      </c>
      <c r="J256" s="52">
        <f t="shared" si="230"/>
        <v>1323748.9400000002</v>
      </c>
      <c r="K256" s="52">
        <f t="shared" si="230"/>
        <v>34269418.170000002</v>
      </c>
      <c r="L256" s="52">
        <f t="shared" si="230"/>
        <v>10238487</v>
      </c>
      <c r="M256" s="52">
        <f t="shared" si="230"/>
        <v>0</v>
      </c>
      <c r="N256" s="52">
        <f t="shared" si="230"/>
        <v>10238487</v>
      </c>
      <c r="O256" s="52">
        <f t="shared" si="230"/>
        <v>0</v>
      </c>
      <c r="P256" s="52">
        <f t="shared" si="230"/>
        <v>10238487</v>
      </c>
      <c r="Q256" s="52">
        <f t="shared" si="230"/>
        <v>10238487</v>
      </c>
      <c r="R256" s="52">
        <f t="shared" si="230"/>
        <v>0</v>
      </c>
      <c r="S256" s="52">
        <f t="shared" si="230"/>
        <v>10238487</v>
      </c>
    </row>
    <row r="257" spans="1:19" s="17" customFormat="1" ht="25.5">
      <c r="A257" s="14" t="s">
        <v>94</v>
      </c>
      <c r="B257" s="15" t="s">
        <v>9</v>
      </c>
      <c r="C257" s="15" t="s">
        <v>107</v>
      </c>
      <c r="D257" s="15" t="s">
        <v>10</v>
      </c>
      <c r="E257" s="15" t="s">
        <v>95</v>
      </c>
      <c r="F257" s="15" t="s">
        <v>0</v>
      </c>
      <c r="G257" s="52">
        <f t="shared" ref="G257:S257" si="231">G258+G260+G262+G271+G275</f>
        <v>12049335.99</v>
      </c>
      <c r="H257" s="52">
        <f t="shared" si="231"/>
        <v>20896333.239999998</v>
      </c>
      <c r="I257" s="52">
        <f t="shared" si="231"/>
        <v>32945669.23</v>
      </c>
      <c r="J257" s="52">
        <f t="shared" ref="J257:K257" si="232">J258+J260+J262+J271+J275</f>
        <v>1323748.9400000002</v>
      </c>
      <c r="K257" s="52">
        <f t="shared" si="232"/>
        <v>34269418.170000002</v>
      </c>
      <c r="L257" s="52">
        <f t="shared" si="231"/>
        <v>10238487</v>
      </c>
      <c r="M257" s="52">
        <f t="shared" si="231"/>
        <v>0</v>
      </c>
      <c r="N257" s="52">
        <f t="shared" si="231"/>
        <v>10238487</v>
      </c>
      <c r="O257" s="52">
        <f t="shared" ref="O257:P257" si="233">O258+O260+O262+O271+O275</f>
        <v>0</v>
      </c>
      <c r="P257" s="52">
        <f t="shared" si="233"/>
        <v>10238487</v>
      </c>
      <c r="Q257" s="52">
        <f t="shared" si="231"/>
        <v>10238487</v>
      </c>
      <c r="R257" s="52">
        <f t="shared" si="231"/>
        <v>0</v>
      </c>
      <c r="S257" s="52">
        <f t="shared" si="231"/>
        <v>10238487</v>
      </c>
    </row>
    <row r="258" spans="1:19" s="17" customFormat="1" ht="27" hidden="1" outlineLevel="1">
      <c r="A258" s="18" t="s">
        <v>109</v>
      </c>
      <c r="B258" s="19" t="s">
        <v>9</v>
      </c>
      <c r="C258" s="19" t="s">
        <v>107</v>
      </c>
      <c r="D258" s="19" t="s">
        <v>10</v>
      </c>
      <c r="E258" s="19" t="s">
        <v>237</v>
      </c>
      <c r="F258" s="19" t="s">
        <v>0</v>
      </c>
      <c r="G258" s="33">
        <f t="shared" ref="G258:S260" si="234">G259</f>
        <v>0</v>
      </c>
      <c r="H258" s="33">
        <f t="shared" si="234"/>
        <v>0</v>
      </c>
      <c r="I258" s="33">
        <f t="shared" si="234"/>
        <v>0</v>
      </c>
      <c r="J258" s="33">
        <f t="shared" si="234"/>
        <v>0</v>
      </c>
      <c r="K258" s="33">
        <f t="shared" si="234"/>
        <v>0</v>
      </c>
      <c r="L258" s="33">
        <f t="shared" si="234"/>
        <v>0</v>
      </c>
      <c r="M258" s="33">
        <f t="shared" si="234"/>
        <v>0</v>
      </c>
      <c r="N258" s="33">
        <f t="shared" si="234"/>
        <v>0</v>
      </c>
      <c r="O258" s="33">
        <f t="shared" si="234"/>
        <v>0</v>
      </c>
      <c r="P258" s="33">
        <f t="shared" si="234"/>
        <v>0</v>
      </c>
      <c r="Q258" s="33">
        <f t="shared" si="234"/>
        <v>0</v>
      </c>
      <c r="R258" s="33">
        <f t="shared" si="234"/>
        <v>0</v>
      </c>
      <c r="S258" s="33">
        <f t="shared" si="234"/>
        <v>0</v>
      </c>
    </row>
    <row r="259" spans="1:19" s="17" customFormat="1" hidden="1" outlineLevel="1">
      <c r="A259" s="21" t="s">
        <v>38</v>
      </c>
      <c r="B259" s="22" t="s">
        <v>9</v>
      </c>
      <c r="C259" s="22" t="s">
        <v>107</v>
      </c>
      <c r="D259" s="22" t="s">
        <v>10</v>
      </c>
      <c r="E259" s="22" t="s">
        <v>237</v>
      </c>
      <c r="F259" s="22" t="s">
        <v>39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</row>
    <row r="260" spans="1:19" s="17" customFormat="1" ht="27" hidden="1" outlineLevel="1">
      <c r="A260" s="18" t="s">
        <v>246</v>
      </c>
      <c r="B260" s="19" t="s">
        <v>9</v>
      </c>
      <c r="C260" s="19" t="s">
        <v>107</v>
      </c>
      <c r="D260" s="19" t="s">
        <v>10</v>
      </c>
      <c r="E260" s="19" t="s">
        <v>245</v>
      </c>
      <c r="F260" s="19" t="s">
        <v>0</v>
      </c>
      <c r="G260" s="33">
        <f>G261</f>
        <v>0</v>
      </c>
      <c r="H260" s="33">
        <f>H261</f>
        <v>0</v>
      </c>
      <c r="I260" s="33">
        <f>I261</f>
        <v>0</v>
      </c>
      <c r="J260" s="33">
        <f>J261</f>
        <v>0</v>
      </c>
      <c r="K260" s="33">
        <f>K261</f>
        <v>0</v>
      </c>
      <c r="L260" s="33">
        <f t="shared" si="234"/>
        <v>0</v>
      </c>
      <c r="M260" s="33">
        <f t="shared" si="234"/>
        <v>0</v>
      </c>
      <c r="N260" s="33">
        <f t="shared" si="234"/>
        <v>0</v>
      </c>
      <c r="O260" s="33">
        <f t="shared" si="234"/>
        <v>0</v>
      </c>
      <c r="P260" s="33">
        <f t="shared" si="234"/>
        <v>0</v>
      </c>
      <c r="Q260" s="33">
        <f t="shared" si="234"/>
        <v>0</v>
      </c>
      <c r="R260" s="33">
        <f t="shared" si="234"/>
        <v>0</v>
      </c>
      <c r="S260" s="33">
        <f t="shared" si="234"/>
        <v>0</v>
      </c>
    </row>
    <row r="261" spans="1:19" s="17" customFormat="1" hidden="1" outlineLevel="1">
      <c r="A261" s="21" t="s">
        <v>38</v>
      </c>
      <c r="B261" s="22" t="s">
        <v>9</v>
      </c>
      <c r="C261" s="22" t="s">
        <v>107</v>
      </c>
      <c r="D261" s="22" t="s">
        <v>10</v>
      </c>
      <c r="E261" s="22" t="s">
        <v>245</v>
      </c>
      <c r="F261" s="22" t="s">
        <v>39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</row>
    <row r="262" spans="1:19" s="17" customFormat="1" collapsed="1">
      <c r="A262" s="14" t="s">
        <v>111</v>
      </c>
      <c r="B262" s="15" t="s">
        <v>9</v>
      </c>
      <c r="C262" s="15" t="s">
        <v>107</v>
      </c>
      <c r="D262" s="15" t="s">
        <v>10</v>
      </c>
      <c r="E262" s="15" t="s">
        <v>112</v>
      </c>
      <c r="F262" s="15" t="s">
        <v>0</v>
      </c>
      <c r="G262" s="52">
        <f t="shared" ref="G262:S262" si="235">G263+G265+G268</f>
        <v>7410356.1100000003</v>
      </c>
      <c r="H262" s="52">
        <f t="shared" si="235"/>
        <v>19916288.07</v>
      </c>
      <c r="I262" s="52">
        <f t="shared" si="235"/>
        <v>27326644.18</v>
      </c>
      <c r="J262" s="52">
        <f t="shared" ref="J262:K262" si="236">J263+J265+J268</f>
        <v>1360309.1</v>
      </c>
      <c r="K262" s="52">
        <f t="shared" si="236"/>
        <v>28686953.280000001</v>
      </c>
      <c r="L262" s="52">
        <f t="shared" si="235"/>
        <v>6506604</v>
      </c>
      <c r="M262" s="52">
        <f t="shared" si="235"/>
        <v>0</v>
      </c>
      <c r="N262" s="52">
        <f t="shared" si="235"/>
        <v>6506604</v>
      </c>
      <c r="O262" s="52">
        <f t="shared" ref="O262:P262" si="237">O263+O265+O268</f>
        <v>0</v>
      </c>
      <c r="P262" s="52">
        <f t="shared" si="237"/>
        <v>6506604</v>
      </c>
      <c r="Q262" s="52">
        <f t="shared" si="235"/>
        <v>6506604</v>
      </c>
      <c r="R262" s="52">
        <f t="shared" si="235"/>
        <v>0</v>
      </c>
      <c r="S262" s="52">
        <f t="shared" si="235"/>
        <v>6506604</v>
      </c>
    </row>
    <row r="263" spans="1:19" s="17" customFormat="1" ht="27">
      <c r="A263" s="18" t="s">
        <v>138</v>
      </c>
      <c r="B263" s="19" t="s">
        <v>9</v>
      </c>
      <c r="C263" s="19" t="s">
        <v>107</v>
      </c>
      <c r="D263" s="19" t="s">
        <v>10</v>
      </c>
      <c r="E263" s="19" t="s">
        <v>139</v>
      </c>
      <c r="F263" s="19" t="s">
        <v>0</v>
      </c>
      <c r="G263" s="33">
        <f t="shared" ref="G263:S263" si="238">G264</f>
        <v>7410356.1100000003</v>
      </c>
      <c r="H263" s="33">
        <f t="shared" si="238"/>
        <v>0</v>
      </c>
      <c r="I263" s="33">
        <f t="shared" si="238"/>
        <v>7410356.1100000003</v>
      </c>
      <c r="J263" s="33">
        <f t="shared" si="238"/>
        <v>1360309.1</v>
      </c>
      <c r="K263" s="33">
        <f t="shared" si="238"/>
        <v>8770665.2100000009</v>
      </c>
      <c r="L263" s="33">
        <f t="shared" si="238"/>
        <v>6506604</v>
      </c>
      <c r="M263" s="33">
        <f t="shared" si="238"/>
        <v>0</v>
      </c>
      <c r="N263" s="33">
        <f t="shared" si="238"/>
        <v>6506604</v>
      </c>
      <c r="O263" s="33">
        <f t="shared" si="238"/>
        <v>0</v>
      </c>
      <c r="P263" s="33">
        <f t="shared" si="238"/>
        <v>6506604</v>
      </c>
      <c r="Q263" s="33">
        <f t="shared" si="238"/>
        <v>6506604</v>
      </c>
      <c r="R263" s="33">
        <f t="shared" si="238"/>
        <v>0</v>
      </c>
      <c r="S263" s="33">
        <f t="shared" si="238"/>
        <v>6506604</v>
      </c>
    </row>
    <row r="264" spans="1:19" s="17" customFormat="1">
      <c r="A264" s="21" t="s">
        <v>21</v>
      </c>
      <c r="B264" s="22" t="s">
        <v>9</v>
      </c>
      <c r="C264" s="22" t="s">
        <v>107</v>
      </c>
      <c r="D264" s="22" t="s">
        <v>10</v>
      </c>
      <c r="E264" s="22" t="s">
        <v>139</v>
      </c>
      <c r="F264" s="22" t="s">
        <v>22</v>
      </c>
      <c r="G264" s="46">
        <v>7410356.1100000003</v>
      </c>
      <c r="H264" s="46">
        <v>0</v>
      </c>
      <c r="I264" s="46">
        <f>G264+H264</f>
        <v>7410356.1100000003</v>
      </c>
      <c r="J264" s="46">
        <f>1978379.35-618070.25</f>
        <v>1360309.1</v>
      </c>
      <c r="K264" s="46">
        <f>I264+J264</f>
        <v>8770665.2100000009</v>
      </c>
      <c r="L264" s="46">
        <v>6506604</v>
      </c>
      <c r="M264" s="46">
        <v>0</v>
      </c>
      <c r="N264" s="46">
        <f>L264+M264</f>
        <v>6506604</v>
      </c>
      <c r="O264" s="46">
        <v>0</v>
      </c>
      <c r="P264" s="46">
        <f>N264+O264</f>
        <v>6506604</v>
      </c>
      <c r="Q264" s="46">
        <v>6506604</v>
      </c>
      <c r="R264" s="46">
        <v>0</v>
      </c>
      <c r="S264" s="46">
        <f>Q264+R264</f>
        <v>6506604</v>
      </c>
    </row>
    <row r="265" spans="1:19" s="17" customFormat="1" ht="13.5" outlineLevel="1">
      <c r="A265" s="18" t="s">
        <v>236</v>
      </c>
      <c r="B265" s="19" t="s">
        <v>9</v>
      </c>
      <c r="C265" s="19" t="s">
        <v>107</v>
      </c>
      <c r="D265" s="19" t="s">
        <v>10</v>
      </c>
      <c r="E265" s="19" t="s">
        <v>235</v>
      </c>
      <c r="F265" s="19" t="s">
        <v>0</v>
      </c>
      <c r="G265" s="33">
        <f t="shared" ref="G265:S265" si="239">G266+G267</f>
        <v>0</v>
      </c>
      <c r="H265" s="33">
        <f t="shared" si="239"/>
        <v>19916288.07</v>
      </c>
      <c r="I265" s="33">
        <f t="shared" si="239"/>
        <v>19916288.07</v>
      </c>
      <c r="J265" s="33">
        <f t="shared" ref="J265:K265" si="240">J266+J267</f>
        <v>0</v>
      </c>
      <c r="K265" s="33">
        <f t="shared" si="240"/>
        <v>19916288.07</v>
      </c>
      <c r="L265" s="33">
        <f t="shared" si="239"/>
        <v>0</v>
      </c>
      <c r="M265" s="33">
        <f t="shared" si="239"/>
        <v>0</v>
      </c>
      <c r="N265" s="33">
        <f t="shared" si="239"/>
        <v>0</v>
      </c>
      <c r="O265" s="33">
        <f t="shared" ref="O265:P265" si="241">O266+O267</f>
        <v>0</v>
      </c>
      <c r="P265" s="33">
        <f t="shared" si="241"/>
        <v>0</v>
      </c>
      <c r="Q265" s="33">
        <f t="shared" si="239"/>
        <v>0</v>
      </c>
      <c r="R265" s="33">
        <f t="shared" si="239"/>
        <v>0</v>
      </c>
      <c r="S265" s="33">
        <f t="shared" si="239"/>
        <v>0</v>
      </c>
    </row>
    <row r="266" spans="1:19" s="17" customFormat="1" outlineLevel="1">
      <c r="A266" s="21" t="s">
        <v>21</v>
      </c>
      <c r="B266" s="22" t="s">
        <v>9</v>
      </c>
      <c r="C266" s="22" t="s">
        <v>107</v>
      </c>
      <c r="D266" s="22" t="s">
        <v>10</v>
      </c>
      <c r="E266" s="22" t="s">
        <v>235</v>
      </c>
      <c r="F266" s="22" t="s">
        <v>22</v>
      </c>
      <c r="G266" s="46">
        <v>0</v>
      </c>
      <c r="H266" s="46">
        <f>5333077.2+14583210.87</f>
        <v>19916288.07</v>
      </c>
      <c r="I266" s="46">
        <f>G266+H266</f>
        <v>19916288.07</v>
      </c>
      <c r="J266" s="46">
        <v>0</v>
      </c>
      <c r="K266" s="46">
        <f>I266+J266</f>
        <v>19916288.07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</row>
    <row r="267" spans="1:19" s="17" customFormat="1" outlineLevel="1">
      <c r="A267" s="21" t="s">
        <v>38</v>
      </c>
      <c r="B267" s="22" t="s">
        <v>9</v>
      </c>
      <c r="C267" s="22" t="s">
        <v>107</v>
      </c>
      <c r="D267" s="22" t="s">
        <v>10</v>
      </c>
      <c r="E267" s="22" t="s">
        <v>235</v>
      </c>
      <c r="F267" s="22" t="s">
        <v>39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</row>
    <row r="268" spans="1:19" s="17" customFormat="1" ht="13.5" outlineLevel="1">
      <c r="A268" s="18" t="s">
        <v>113</v>
      </c>
      <c r="B268" s="19" t="s">
        <v>9</v>
      </c>
      <c r="C268" s="19" t="s">
        <v>107</v>
      </c>
      <c r="D268" s="19" t="s">
        <v>10</v>
      </c>
      <c r="E268" s="19" t="s">
        <v>114</v>
      </c>
      <c r="F268" s="19" t="s">
        <v>0</v>
      </c>
      <c r="G268" s="33">
        <f t="shared" ref="G268:S268" si="242">G269+G270</f>
        <v>0</v>
      </c>
      <c r="H268" s="33">
        <f t="shared" si="242"/>
        <v>0</v>
      </c>
      <c r="I268" s="33">
        <f t="shared" si="242"/>
        <v>0</v>
      </c>
      <c r="J268" s="33">
        <f t="shared" ref="J268:K268" si="243">J269+J270</f>
        <v>0</v>
      </c>
      <c r="K268" s="33">
        <f t="shared" si="243"/>
        <v>0</v>
      </c>
      <c r="L268" s="33">
        <f t="shared" si="242"/>
        <v>0</v>
      </c>
      <c r="M268" s="33">
        <f t="shared" si="242"/>
        <v>0</v>
      </c>
      <c r="N268" s="33">
        <f t="shared" si="242"/>
        <v>0</v>
      </c>
      <c r="O268" s="33">
        <f t="shared" ref="O268:P268" si="244">O269+O270</f>
        <v>0</v>
      </c>
      <c r="P268" s="33">
        <f t="shared" si="244"/>
        <v>0</v>
      </c>
      <c r="Q268" s="33">
        <f t="shared" si="242"/>
        <v>0</v>
      </c>
      <c r="R268" s="33">
        <f t="shared" si="242"/>
        <v>0</v>
      </c>
      <c r="S268" s="33">
        <f t="shared" si="242"/>
        <v>0</v>
      </c>
    </row>
    <row r="269" spans="1:19" s="17" customFormat="1" outlineLevel="1">
      <c r="A269" s="21" t="s">
        <v>21</v>
      </c>
      <c r="B269" s="22" t="s">
        <v>9</v>
      </c>
      <c r="C269" s="22" t="s">
        <v>107</v>
      </c>
      <c r="D269" s="22" t="s">
        <v>10</v>
      </c>
      <c r="E269" s="22" t="s">
        <v>114</v>
      </c>
      <c r="F269" s="22" t="s">
        <v>22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</row>
    <row r="270" spans="1:19" s="17" customFormat="1" outlineLevel="1">
      <c r="A270" s="21" t="s">
        <v>38</v>
      </c>
      <c r="B270" s="22" t="s">
        <v>9</v>
      </c>
      <c r="C270" s="22" t="s">
        <v>107</v>
      </c>
      <c r="D270" s="22" t="s">
        <v>10</v>
      </c>
      <c r="E270" s="22" t="s">
        <v>114</v>
      </c>
      <c r="F270" s="22" t="s">
        <v>39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</row>
    <row r="271" spans="1:19" s="17" customFormat="1" ht="13.5" customHeight="1">
      <c r="A271" s="14" t="s">
        <v>180</v>
      </c>
      <c r="B271" s="15" t="s">
        <v>9</v>
      </c>
      <c r="C271" s="15" t="s">
        <v>107</v>
      </c>
      <c r="D271" s="15" t="s">
        <v>10</v>
      </c>
      <c r="E271" s="15" t="s">
        <v>181</v>
      </c>
      <c r="F271" s="15" t="s">
        <v>0</v>
      </c>
      <c r="G271" s="52">
        <f t="shared" ref="G271:S271" si="245">G272</f>
        <v>3616533.98</v>
      </c>
      <c r="H271" s="52">
        <f t="shared" si="245"/>
        <v>-895833.98</v>
      </c>
      <c r="I271" s="52">
        <f t="shared" si="245"/>
        <v>2720700</v>
      </c>
      <c r="J271" s="52">
        <f t="shared" si="245"/>
        <v>-36060.160000000003</v>
      </c>
      <c r="K271" s="52">
        <f t="shared" si="245"/>
        <v>2684639.84</v>
      </c>
      <c r="L271" s="52">
        <f t="shared" si="245"/>
        <v>3302321</v>
      </c>
      <c r="M271" s="52">
        <f t="shared" si="245"/>
        <v>0</v>
      </c>
      <c r="N271" s="52">
        <f t="shared" si="245"/>
        <v>3302321</v>
      </c>
      <c r="O271" s="52">
        <f t="shared" si="245"/>
        <v>0</v>
      </c>
      <c r="P271" s="52">
        <f t="shared" si="245"/>
        <v>3302321</v>
      </c>
      <c r="Q271" s="52">
        <f t="shared" si="245"/>
        <v>3302321</v>
      </c>
      <c r="R271" s="52">
        <f t="shared" si="245"/>
        <v>0</v>
      </c>
      <c r="S271" s="52">
        <f t="shared" si="245"/>
        <v>3302321</v>
      </c>
    </row>
    <row r="272" spans="1:19" s="17" customFormat="1" ht="13.5">
      <c r="A272" s="18" t="s">
        <v>182</v>
      </c>
      <c r="B272" s="19" t="s">
        <v>9</v>
      </c>
      <c r="C272" s="19" t="s">
        <v>107</v>
      </c>
      <c r="D272" s="19" t="s">
        <v>10</v>
      </c>
      <c r="E272" s="19" t="s">
        <v>183</v>
      </c>
      <c r="F272" s="19" t="s">
        <v>0</v>
      </c>
      <c r="G272" s="33">
        <f t="shared" ref="G272:S272" si="246">G273+G274</f>
        <v>3616533.98</v>
      </c>
      <c r="H272" s="33">
        <f t="shared" si="246"/>
        <v>-895833.98</v>
      </c>
      <c r="I272" s="33">
        <f t="shared" si="246"/>
        <v>2720700</v>
      </c>
      <c r="J272" s="33">
        <f t="shared" ref="J272:K272" si="247">J273+J274</f>
        <v>-36060.160000000003</v>
      </c>
      <c r="K272" s="33">
        <f t="shared" si="247"/>
        <v>2684639.84</v>
      </c>
      <c r="L272" s="33">
        <f t="shared" si="246"/>
        <v>3302321</v>
      </c>
      <c r="M272" s="33">
        <f t="shared" si="246"/>
        <v>0</v>
      </c>
      <c r="N272" s="33">
        <f t="shared" si="246"/>
        <v>3302321</v>
      </c>
      <c r="O272" s="33">
        <f t="shared" ref="O272:P272" si="248">O273+O274</f>
        <v>0</v>
      </c>
      <c r="P272" s="33">
        <f t="shared" si="248"/>
        <v>3302321</v>
      </c>
      <c r="Q272" s="33">
        <f t="shared" si="246"/>
        <v>3302321</v>
      </c>
      <c r="R272" s="33">
        <f t="shared" si="246"/>
        <v>0</v>
      </c>
      <c r="S272" s="33">
        <f t="shared" si="246"/>
        <v>3302321</v>
      </c>
    </row>
    <row r="273" spans="1:19" s="17" customFormat="1">
      <c r="A273" s="21" t="s">
        <v>21</v>
      </c>
      <c r="B273" s="22" t="s">
        <v>9</v>
      </c>
      <c r="C273" s="22" t="s">
        <v>107</v>
      </c>
      <c r="D273" s="22" t="s">
        <v>10</v>
      </c>
      <c r="E273" s="22" t="s">
        <v>183</v>
      </c>
      <c r="F273" s="22" t="s">
        <v>22</v>
      </c>
      <c r="G273" s="46">
        <v>2720700</v>
      </c>
      <c r="H273" s="46">
        <v>0</v>
      </c>
      <c r="I273" s="46">
        <f>G273+H273</f>
        <v>2720700</v>
      </c>
      <c r="J273" s="46">
        <v>-36060.160000000003</v>
      </c>
      <c r="K273" s="46">
        <f>I273+J273</f>
        <v>2684639.84</v>
      </c>
      <c r="L273" s="46">
        <v>2802321</v>
      </c>
      <c r="M273" s="46">
        <v>0</v>
      </c>
      <c r="N273" s="46">
        <f>L273+M273</f>
        <v>2802321</v>
      </c>
      <c r="O273" s="46">
        <v>0</v>
      </c>
      <c r="P273" s="46">
        <f>N273+O273</f>
        <v>2802321</v>
      </c>
      <c r="Q273" s="46">
        <v>2802321</v>
      </c>
      <c r="R273" s="46">
        <v>0</v>
      </c>
      <c r="S273" s="46">
        <f>Q273+R273</f>
        <v>2802321</v>
      </c>
    </row>
    <row r="274" spans="1:19" s="17" customFormat="1">
      <c r="A274" s="21" t="s">
        <v>40</v>
      </c>
      <c r="B274" s="22" t="s">
        <v>9</v>
      </c>
      <c r="C274" s="22" t="s">
        <v>107</v>
      </c>
      <c r="D274" s="22" t="s">
        <v>10</v>
      </c>
      <c r="E274" s="22" t="s">
        <v>183</v>
      </c>
      <c r="F274" s="22" t="s">
        <v>41</v>
      </c>
      <c r="G274" s="46">
        <v>895833.98</v>
      </c>
      <c r="H274" s="46">
        <f>-395833.98-500000</f>
        <v>-895833.98</v>
      </c>
      <c r="I274" s="46">
        <f>G274+H274</f>
        <v>0</v>
      </c>
      <c r="J274" s="46">
        <v>0</v>
      </c>
      <c r="K274" s="46">
        <f>I274+J274</f>
        <v>0</v>
      </c>
      <c r="L274" s="46">
        <v>500000</v>
      </c>
      <c r="M274" s="46">
        <v>0</v>
      </c>
      <c r="N274" s="46">
        <f>L274+M274</f>
        <v>500000</v>
      </c>
      <c r="O274" s="46">
        <v>0</v>
      </c>
      <c r="P274" s="46">
        <f>N274+O274</f>
        <v>500000</v>
      </c>
      <c r="Q274" s="46">
        <v>500000</v>
      </c>
      <c r="R274" s="46">
        <v>0</v>
      </c>
      <c r="S274" s="46">
        <f>Q274+R274</f>
        <v>500000</v>
      </c>
    </row>
    <row r="275" spans="1:19" s="17" customFormat="1" ht="25.5">
      <c r="A275" s="14" t="s">
        <v>184</v>
      </c>
      <c r="B275" s="15" t="s">
        <v>9</v>
      </c>
      <c r="C275" s="15" t="s">
        <v>107</v>
      </c>
      <c r="D275" s="15" t="s">
        <v>10</v>
      </c>
      <c r="E275" s="15" t="s">
        <v>185</v>
      </c>
      <c r="F275" s="15" t="s">
        <v>0</v>
      </c>
      <c r="G275" s="52">
        <f t="shared" ref="G275:S276" si="249">G276</f>
        <v>1022445.9</v>
      </c>
      <c r="H275" s="52">
        <f t="shared" si="249"/>
        <v>1875879.15</v>
      </c>
      <c r="I275" s="52">
        <f t="shared" si="249"/>
        <v>2898325.05</v>
      </c>
      <c r="J275" s="52">
        <f t="shared" si="249"/>
        <v>-500</v>
      </c>
      <c r="K275" s="52">
        <f t="shared" si="249"/>
        <v>2897825.05</v>
      </c>
      <c r="L275" s="52">
        <f t="shared" si="249"/>
        <v>429562</v>
      </c>
      <c r="M275" s="52">
        <f t="shared" si="249"/>
        <v>0</v>
      </c>
      <c r="N275" s="52">
        <f t="shared" si="249"/>
        <v>429562</v>
      </c>
      <c r="O275" s="52">
        <f t="shared" si="249"/>
        <v>0</v>
      </c>
      <c r="P275" s="52">
        <f t="shared" si="249"/>
        <v>429562</v>
      </c>
      <c r="Q275" s="52">
        <f t="shared" si="249"/>
        <v>429562</v>
      </c>
      <c r="R275" s="52">
        <f t="shared" si="249"/>
        <v>0</v>
      </c>
      <c r="S275" s="52">
        <f t="shared" si="249"/>
        <v>429562</v>
      </c>
    </row>
    <row r="276" spans="1:19" s="17" customFormat="1" ht="27.75" customHeight="1">
      <c r="A276" s="18" t="s">
        <v>186</v>
      </c>
      <c r="B276" s="19" t="s">
        <v>9</v>
      </c>
      <c r="C276" s="19" t="s">
        <v>107</v>
      </c>
      <c r="D276" s="19" t="s">
        <v>10</v>
      </c>
      <c r="E276" s="19" t="s">
        <v>187</v>
      </c>
      <c r="F276" s="19" t="s">
        <v>0</v>
      </c>
      <c r="G276" s="33">
        <f t="shared" si="249"/>
        <v>1022445.9</v>
      </c>
      <c r="H276" s="33">
        <f t="shared" si="249"/>
        <v>1875879.15</v>
      </c>
      <c r="I276" s="33">
        <f t="shared" si="249"/>
        <v>2898325.05</v>
      </c>
      <c r="J276" s="33">
        <f t="shared" si="249"/>
        <v>-500</v>
      </c>
      <c r="K276" s="33">
        <f t="shared" si="249"/>
        <v>2897825.05</v>
      </c>
      <c r="L276" s="33">
        <f t="shared" si="249"/>
        <v>429562</v>
      </c>
      <c r="M276" s="33">
        <f t="shared" si="249"/>
        <v>0</v>
      </c>
      <c r="N276" s="33">
        <f t="shared" si="249"/>
        <v>429562</v>
      </c>
      <c r="O276" s="33">
        <f t="shared" si="249"/>
        <v>0</v>
      </c>
      <c r="P276" s="33">
        <f t="shared" si="249"/>
        <v>429562</v>
      </c>
      <c r="Q276" s="33">
        <f t="shared" si="249"/>
        <v>429562</v>
      </c>
      <c r="R276" s="33">
        <f t="shared" si="249"/>
        <v>0</v>
      </c>
      <c r="S276" s="33">
        <f t="shared" si="249"/>
        <v>429562</v>
      </c>
    </row>
    <row r="277" spans="1:19" s="17" customFormat="1">
      <c r="A277" s="21" t="s">
        <v>21</v>
      </c>
      <c r="B277" s="22" t="s">
        <v>9</v>
      </c>
      <c r="C277" s="22" t="s">
        <v>107</v>
      </c>
      <c r="D277" s="22" t="s">
        <v>10</v>
      </c>
      <c r="E277" s="22" t="s">
        <v>187</v>
      </c>
      <c r="F277" s="22" t="s">
        <v>22</v>
      </c>
      <c r="G277" s="46">
        <v>1022445.9</v>
      </c>
      <c r="H277" s="46">
        <v>1875879.15</v>
      </c>
      <c r="I277" s="46">
        <f>G277+H277</f>
        <v>2898325.05</v>
      </c>
      <c r="J277" s="46">
        <v>-500</v>
      </c>
      <c r="K277" s="46">
        <f>I277+J277</f>
        <v>2897825.05</v>
      </c>
      <c r="L277" s="46">
        <v>429562</v>
      </c>
      <c r="M277" s="46">
        <v>0</v>
      </c>
      <c r="N277" s="46">
        <f>L277+M277</f>
        <v>429562</v>
      </c>
      <c r="O277" s="46">
        <v>0</v>
      </c>
      <c r="P277" s="46">
        <f>N277+O277</f>
        <v>429562</v>
      </c>
      <c r="Q277" s="46">
        <v>429562</v>
      </c>
      <c r="R277" s="46">
        <v>0</v>
      </c>
      <c r="S277" s="46">
        <f>Q277+R277</f>
        <v>429562</v>
      </c>
    </row>
    <row r="278" spans="1:19" s="17" customFormat="1">
      <c r="A278" s="14" t="s">
        <v>188</v>
      </c>
      <c r="B278" s="15" t="s">
        <v>9</v>
      </c>
      <c r="C278" s="15" t="s">
        <v>107</v>
      </c>
      <c r="D278" s="15" t="s">
        <v>27</v>
      </c>
      <c r="E278" s="15" t="s">
        <v>0</v>
      </c>
      <c r="F278" s="15" t="s">
        <v>0</v>
      </c>
      <c r="G278" s="52">
        <f t="shared" ref="G278:S278" si="250">G279</f>
        <v>32192710.770000003</v>
      </c>
      <c r="H278" s="52">
        <f t="shared" si="250"/>
        <v>76128775.060000002</v>
      </c>
      <c r="I278" s="52">
        <f t="shared" si="250"/>
        <v>108321485.83000001</v>
      </c>
      <c r="J278" s="52">
        <f t="shared" si="250"/>
        <v>1075243.8000000003</v>
      </c>
      <c r="K278" s="52">
        <f t="shared" si="250"/>
        <v>109396729.63</v>
      </c>
      <c r="L278" s="52">
        <f t="shared" si="250"/>
        <v>3607971</v>
      </c>
      <c r="M278" s="52">
        <f t="shared" si="250"/>
        <v>0</v>
      </c>
      <c r="N278" s="52">
        <f t="shared" si="250"/>
        <v>3607971</v>
      </c>
      <c r="O278" s="52">
        <f t="shared" si="250"/>
        <v>0</v>
      </c>
      <c r="P278" s="52">
        <f t="shared" si="250"/>
        <v>3607971</v>
      </c>
      <c r="Q278" s="52">
        <f t="shared" si="250"/>
        <v>3607971</v>
      </c>
      <c r="R278" s="52">
        <f t="shared" si="250"/>
        <v>0</v>
      </c>
      <c r="S278" s="52">
        <f t="shared" si="250"/>
        <v>3607971</v>
      </c>
    </row>
    <row r="279" spans="1:19" s="17" customFormat="1" ht="36.75" customHeight="1">
      <c r="A279" s="14" t="s">
        <v>94</v>
      </c>
      <c r="B279" s="15" t="s">
        <v>9</v>
      </c>
      <c r="C279" s="15" t="s">
        <v>107</v>
      </c>
      <c r="D279" s="15" t="s">
        <v>27</v>
      </c>
      <c r="E279" s="15" t="s">
        <v>95</v>
      </c>
      <c r="F279" s="15" t="s">
        <v>0</v>
      </c>
      <c r="G279" s="52">
        <f t="shared" ref="G279:S279" si="251">G280+G292</f>
        <v>32192710.770000003</v>
      </c>
      <c r="H279" s="52">
        <f t="shared" si="251"/>
        <v>76128775.060000002</v>
      </c>
      <c r="I279" s="52">
        <f t="shared" si="251"/>
        <v>108321485.83000001</v>
      </c>
      <c r="J279" s="52">
        <f t="shared" ref="J279:K279" si="252">J280+J292</f>
        <v>1075243.8000000003</v>
      </c>
      <c r="K279" s="52">
        <f t="shared" si="252"/>
        <v>109396729.63</v>
      </c>
      <c r="L279" s="52">
        <f t="shared" si="251"/>
        <v>3607971</v>
      </c>
      <c r="M279" s="52">
        <f t="shared" si="251"/>
        <v>0</v>
      </c>
      <c r="N279" s="52">
        <f t="shared" si="251"/>
        <v>3607971</v>
      </c>
      <c r="O279" s="52">
        <f t="shared" ref="O279:P279" si="253">O280+O292</f>
        <v>0</v>
      </c>
      <c r="P279" s="52">
        <f t="shared" si="253"/>
        <v>3607971</v>
      </c>
      <c r="Q279" s="52">
        <f t="shared" si="251"/>
        <v>3607971</v>
      </c>
      <c r="R279" s="52">
        <f t="shared" si="251"/>
        <v>0</v>
      </c>
      <c r="S279" s="52">
        <f t="shared" si="251"/>
        <v>3607971</v>
      </c>
    </row>
    <row r="280" spans="1:19" s="17" customFormat="1" ht="25.5">
      <c r="A280" s="14" t="s">
        <v>96</v>
      </c>
      <c r="B280" s="15" t="s">
        <v>9</v>
      </c>
      <c r="C280" s="15" t="s">
        <v>107</v>
      </c>
      <c r="D280" s="15" t="s">
        <v>27</v>
      </c>
      <c r="E280" s="15" t="s">
        <v>97</v>
      </c>
      <c r="F280" s="15" t="s">
        <v>0</v>
      </c>
      <c r="G280" s="52">
        <f>G284+G286+G288+G290</f>
        <v>27382190.870000001</v>
      </c>
      <c r="H280" s="52">
        <f>H284+H286+H288+H290</f>
        <v>75367057.090000004</v>
      </c>
      <c r="I280" s="52">
        <f t="shared" ref="I280:S280" si="254">I284+I286+I288+I290</f>
        <v>102749247.96000001</v>
      </c>
      <c r="J280" s="52">
        <f>J284+J286+J288+J290</f>
        <v>-886752.9</v>
      </c>
      <c r="K280" s="52">
        <f t="shared" ref="K280" si="255">K284+K286+K288+K290</f>
        <v>101862495.05999999</v>
      </c>
      <c r="L280" s="52">
        <f t="shared" si="254"/>
        <v>0</v>
      </c>
      <c r="M280" s="52">
        <f t="shared" si="254"/>
        <v>0</v>
      </c>
      <c r="N280" s="52">
        <f t="shared" si="254"/>
        <v>0</v>
      </c>
      <c r="O280" s="52">
        <f t="shared" ref="O280:P280" si="256">O284+O286+O288+O290</f>
        <v>0</v>
      </c>
      <c r="P280" s="52">
        <f t="shared" si="256"/>
        <v>0</v>
      </c>
      <c r="Q280" s="52">
        <f t="shared" si="254"/>
        <v>0</v>
      </c>
      <c r="R280" s="52">
        <f t="shared" si="254"/>
        <v>0</v>
      </c>
      <c r="S280" s="52">
        <f t="shared" si="254"/>
        <v>0</v>
      </c>
    </row>
    <row r="281" spans="1:19" s="17" customFormat="1" ht="27" hidden="1" outlineLevel="1">
      <c r="A281" s="18" t="s">
        <v>109</v>
      </c>
      <c r="B281" s="19" t="s">
        <v>9</v>
      </c>
      <c r="C281" s="19" t="s">
        <v>107</v>
      </c>
      <c r="D281" s="19" t="s">
        <v>27</v>
      </c>
      <c r="E281" s="19" t="s">
        <v>110</v>
      </c>
      <c r="F281" s="19" t="s">
        <v>0</v>
      </c>
      <c r="G281" s="33">
        <f t="shared" ref="G281:S281" si="257">G283+G282</f>
        <v>0</v>
      </c>
      <c r="H281" s="33">
        <f t="shared" si="257"/>
        <v>0</v>
      </c>
      <c r="I281" s="33">
        <f t="shared" si="257"/>
        <v>0</v>
      </c>
      <c r="J281" s="33">
        <f t="shared" ref="J281:K281" si="258">J283+J282</f>
        <v>0</v>
      </c>
      <c r="K281" s="33">
        <f t="shared" si="258"/>
        <v>0</v>
      </c>
      <c r="L281" s="33">
        <f t="shared" si="257"/>
        <v>0</v>
      </c>
      <c r="M281" s="33">
        <f t="shared" si="257"/>
        <v>0</v>
      </c>
      <c r="N281" s="33">
        <f t="shared" si="257"/>
        <v>0</v>
      </c>
      <c r="O281" s="33">
        <f t="shared" ref="O281:P281" si="259">O283+O282</f>
        <v>0</v>
      </c>
      <c r="P281" s="33">
        <f t="shared" si="259"/>
        <v>0</v>
      </c>
      <c r="Q281" s="33">
        <f t="shared" si="257"/>
        <v>0</v>
      </c>
      <c r="R281" s="33">
        <f t="shared" si="257"/>
        <v>0</v>
      </c>
      <c r="S281" s="33">
        <f t="shared" si="257"/>
        <v>0</v>
      </c>
    </row>
    <row r="282" spans="1:19" s="17" customFormat="1" hidden="1" outlineLevel="1">
      <c r="A282" s="21" t="s">
        <v>21</v>
      </c>
      <c r="B282" s="22" t="s">
        <v>9</v>
      </c>
      <c r="C282" s="22" t="s">
        <v>107</v>
      </c>
      <c r="D282" s="22" t="s">
        <v>27</v>
      </c>
      <c r="E282" s="22" t="s">
        <v>110</v>
      </c>
      <c r="F282" s="22">
        <v>200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</row>
    <row r="283" spans="1:19" s="17" customFormat="1" hidden="1" outlineLevel="1">
      <c r="A283" s="21" t="s">
        <v>38</v>
      </c>
      <c r="B283" s="22" t="s">
        <v>9</v>
      </c>
      <c r="C283" s="22" t="s">
        <v>107</v>
      </c>
      <c r="D283" s="22" t="s">
        <v>27</v>
      </c>
      <c r="E283" s="22" t="s">
        <v>110</v>
      </c>
      <c r="F283" s="22" t="s">
        <v>39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</row>
    <row r="284" spans="1:19" s="17" customFormat="1" ht="27.75" customHeight="1" collapsed="1">
      <c r="A284" s="93" t="s">
        <v>276</v>
      </c>
      <c r="B284" s="19" t="s">
        <v>9</v>
      </c>
      <c r="C284" s="19" t="s">
        <v>107</v>
      </c>
      <c r="D284" s="19" t="s">
        <v>27</v>
      </c>
      <c r="E284" s="19" t="s">
        <v>290</v>
      </c>
      <c r="F284" s="19" t="s">
        <v>0</v>
      </c>
      <c r="G284" s="33">
        <f>G285</f>
        <v>21179593.690000001</v>
      </c>
      <c r="H284" s="33">
        <f>H285</f>
        <v>0</v>
      </c>
      <c r="I284" s="33">
        <f>I285</f>
        <v>21179593.690000001</v>
      </c>
      <c r="J284" s="33">
        <f>J285</f>
        <v>0</v>
      </c>
      <c r="K284" s="33">
        <f>K285</f>
        <v>21179593.690000001</v>
      </c>
      <c r="L284" s="33">
        <f t="shared" ref="L284:S284" si="260">L286+L285</f>
        <v>0</v>
      </c>
      <c r="M284" s="33">
        <f t="shared" si="260"/>
        <v>0</v>
      </c>
      <c r="N284" s="33">
        <f t="shared" si="260"/>
        <v>0</v>
      </c>
      <c r="O284" s="33">
        <f t="shared" si="260"/>
        <v>0</v>
      </c>
      <c r="P284" s="33">
        <f t="shared" si="260"/>
        <v>0</v>
      </c>
      <c r="Q284" s="33">
        <f t="shared" si="260"/>
        <v>0</v>
      </c>
      <c r="R284" s="33">
        <f t="shared" si="260"/>
        <v>0</v>
      </c>
      <c r="S284" s="33">
        <f t="shared" si="260"/>
        <v>0</v>
      </c>
    </row>
    <row r="285" spans="1:19" s="17" customFormat="1" ht="17.25" customHeight="1">
      <c r="A285" s="21" t="s">
        <v>21</v>
      </c>
      <c r="B285" s="22" t="s">
        <v>9</v>
      </c>
      <c r="C285" s="22" t="s">
        <v>107</v>
      </c>
      <c r="D285" s="22" t="s">
        <v>27</v>
      </c>
      <c r="E285" s="34" t="s">
        <v>290</v>
      </c>
      <c r="F285" s="22">
        <v>200</v>
      </c>
      <c r="G285" s="46">
        <v>21179593.690000001</v>
      </c>
      <c r="H285" s="46">
        <v>0</v>
      </c>
      <c r="I285" s="46">
        <f>G285+H285</f>
        <v>21179593.690000001</v>
      </c>
      <c r="J285" s="46">
        <v>0</v>
      </c>
      <c r="K285" s="46">
        <f>I285+J285</f>
        <v>21179593.690000001</v>
      </c>
      <c r="L285" s="46">
        <v>0</v>
      </c>
      <c r="M285" s="46">
        <v>0</v>
      </c>
      <c r="N285" s="46">
        <f>L285+M285</f>
        <v>0</v>
      </c>
      <c r="O285" s="46">
        <v>0</v>
      </c>
      <c r="P285" s="46">
        <f>N285+O285</f>
        <v>0</v>
      </c>
      <c r="Q285" s="46">
        <v>0</v>
      </c>
      <c r="R285" s="46">
        <v>0</v>
      </c>
      <c r="S285" s="46">
        <f>Q285+R285</f>
        <v>0</v>
      </c>
    </row>
    <row r="286" spans="1:19" s="17" customFormat="1" ht="30" customHeight="1">
      <c r="A286" s="18" t="s">
        <v>286</v>
      </c>
      <c r="B286" s="19" t="s">
        <v>9</v>
      </c>
      <c r="C286" s="19" t="s">
        <v>107</v>
      </c>
      <c r="D286" s="19" t="s">
        <v>27</v>
      </c>
      <c r="E286" s="19" t="s">
        <v>289</v>
      </c>
      <c r="F286" s="19"/>
      <c r="G286" s="33">
        <f>G287</f>
        <v>6202597.1799999997</v>
      </c>
      <c r="H286" s="33">
        <f>H287</f>
        <v>47522015.409999996</v>
      </c>
      <c r="I286" s="33">
        <f>I287</f>
        <v>53724612.589999996</v>
      </c>
      <c r="J286" s="33">
        <f>J287</f>
        <v>-489484.38</v>
      </c>
      <c r="K286" s="33">
        <f>K287</f>
        <v>53235128.209999993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</row>
    <row r="287" spans="1:19" s="17" customFormat="1" ht="15.75" customHeight="1">
      <c r="A287" s="21" t="s">
        <v>38</v>
      </c>
      <c r="B287" s="22" t="s">
        <v>9</v>
      </c>
      <c r="C287" s="22" t="s">
        <v>107</v>
      </c>
      <c r="D287" s="22" t="s">
        <v>27</v>
      </c>
      <c r="E287" s="92" t="s">
        <v>289</v>
      </c>
      <c r="F287" s="22">
        <v>400</v>
      </c>
      <c r="G287" s="46">
        <v>6202597.1799999997</v>
      </c>
      <c r="H287" s="80">
        <f>566456.58+929967.28+28000000-363582.5-838222.45-772603.5+20000000</f>
        <v>47522015.409999996</v>
      </c>
      <c r="I287" s="46">
        <f>G287+H287</f>
        <v>53724612.589999996</v>
      </c>
      <c r="J287" s="80">
        <f>-264666.69-224817.69</f>
        <v>-489484.38</v>
      </c>
      <c r="K287" s="46">
        <f>I287+J287</f>
        <v>53235128.209999993</v>
      </c>
      <c r="L287" s="46">
        <v>0</v>
      </c>
      <c r="M287" s="46">
        <v>0</v>
      </c>
      <c r="N287" s="46">
        <f>L287+M287</f>
        <v>0</v>
      </c>
      <c r="O287" s="46">
        <v>0</v>
      </c>
      <c r="P287" s="46">
        <f>N287+O287</f>
        <v>0</v>
      </c>
      <c r="Q287" s="46">
        <v>0</v>
      </c>
      <c r="R287" s="46">
        <v>0</v>
      </c>
      <c r="S287" s="46">
        <f>Q287+R287</f>
        <v>0</v>
      </c>
    </row>
    <row r="288" spans="1:19" s="17" customFormat="1" ht="32.25" customHeight="1">
      <c r="A288" s="42" t="s">
        <v>246</v>
      </c>
      <c r="B288" s="19" t="s">
        <v>9</v>
      </c>
      <c r="C288" s="19" t="s">
        <v>107</v>
      </c>
      <c r="D288" s="19" t="s">
        <v>27</v>
      </c>
      <c r="E288" s="19" t="s">
        <v>287</v>
      </c>
      <c r="F288" s="94"/>
      <c r="G288" s="33">
        <f t="shared" ref="G288:L288" si="261">G289</f>
        <v>0</v>
      </c>
      <c r="H288" s="33">
        <f t="shared" si="261"/>
        <v>21124754.399999999</v>
      </c>
      <c r="I288" s="33">
        <f t="shared" si="261"/>
        <v>21124754.399999999</v>
      </c>
      <c r="J288" s="33">
        <f t="shared" si="261"/>
        <v>0</v>
      </c>
      <c r="K288" s="33">
        <f t="shared" si="261"/>
        <v>21124754.399999999</v>
      </c>
      <c r="L288" s="33">
        <f t="shared" si="261"/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</row>
    <row r="289" spans="1:19" s="17" customFormat="1" ht="15.75" customHeight="1">
      <c r="A289" s="47" t="s">
        <v>38</v>
      </c>
      <c r="B289" s="22" t="s">
        <v>9</v>
      </c>
      <c r="C289" s="22" t="s">
        <v>107</v>
      </c>
      <c r="D289" s="22" t="s">
        <v>27</v>
      </c>
      <c r="E289" s="34" t="s">
        <v>287</v>
      </c>
      <c r="F289" s="22">
        <v>400</v>
      </c>
      <c r="G289" s="46">
        <v>0</v>
      </c>
      <c r="H289" s="46">
        <f>21124754.4</f>
        <v>21124754.399999999</v>
      </c>
      <c r="I289" s="46">
        <f>G289+H289</f>
        <v>21124754.399999999</v>
      </c>
      <c r="J289" s="46"/>
      <c r="K289" s="46">
        <f>I289+J289</f>
        <v>21124754.399999999</v>
      </c>
      <c r="L289" s="46">
        <v>0</v>
      </c>
      <c r="M289" s="46">
        <v>0</v>
      </c>
      <c r="N289" s="46">
        <f>L289+M289</f>
        <v>0</v>
      </c>
      <c r="O289" s="46">
        <v>0</v>
      </c>
      <c r="P289" s="46">
        <f>N289+O289</f>
        <v>0</v>
      </c>
      <c r="Q289" s="46">
        <v>0</v>
      </c>
      <c r="R289" s="46">
        <v>0</v>
      </c>
      <c r="S289" s="46">
        <f>Q289+R289</f>
        <v>0</v>
      </c>
    </row>
    <row r="290" spans="1:19" s="17" customFormat="1" ht="32.25" customHeight="1">
      <c r="A290" s="42" t="s">
        <v>109</v>
      </c>
      <c r="B290" s="19" t="s">
        <v>9</v>
      </c>
      <c r="C290" s="19" t="s">
        <v>107</v>
      </c>
      <c r="D290" s="19" t="s">
        <v>27</v>
      </c>
      <c r="E290" s="19" t="s">
        <v>288</v>
      </c>
      <c r="F290" s="94"/>
      <c r="G290" s="33">
        <f t="shared" ref="G290:L290" si="262">G291</f>
        <v>0</v>
      </c>
      <c r="H290" s="33">
        <f t="shared" si="262"/>
        <v>6720287.2799999993</v>
      </c>
      <c r="I290" s="33">
        <f t="shared" si="262"/>
        <v>6720287.2799999993</v>
      </c>
      <c r="J290" s="33">
        <f t="shared" si="262"/>
        <v>-397268.52</v>
      </c>
      <c r="K290" s="33">
        <f t="shared" si="262"/>
        <v>6323018.7599999998</v>
      </c>
      <c r="L290" s="33">
        <f t="shared" si="262"/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</row>
    <row r="291" spans="1:19" s="17" customFormat="1" ht="15.75" customHeight="1">
      <c r="A291" s="47" t="s">
        <v>38</v>
      </c>
      <c r="B291" s="22" t="s">
        <v>9</v>
      </c>
      <c r="C291" s="22" t="s">
        <v>107</v>
      </c>
      <c r="D291" s="22" t="s">
        <v>27</v>
      </c>
      <c r="E291" s="34" t="s">
        <v>288</v>
      </c>
      <c r="F291" s="22">
        <v>400</v>
      </c>
      <c r="G291" s="46">
        <v>0</v>
      </c>
      <c r="H291" s="46">
        <f>5781188.6+939098.68</f>
        <v>6720287.2799999993</v>
      </c>
      <c r="I291" s="46">
        <f>H291+G291</f>
        <v>6720287.2799999993</v>
      </c>
      <c r="J291" s="46">
        <f>-63868.88-333399.64</f>
        <v>-397268.52</v>
      </c>
      <c r="K291" s="46">
        <f>J291+I291</f>
        <v>6323018.7599999998</v>
      </c>
      <c r="L291" s="46">
        <v>0</v>
      </c>
      <c r="M291" s="46">
        <v>0</v>
      </c>
      <c r="N291" s="46">
        <f>L291+M291</f>
        <v>0</v>
      </c>
      <c r="O291" s="46">
        <v>0</v>
      </c>
      <c r="P291" s="46">
        <f>N291+O291</f>
        <v>0</v>
      </c>
      <c r="Q291" s="46">
        <v>0</v>
      </c>
      <c r="R291" s="46">
        <v>0</v>
      </c>
      <c r="S291" s="46">
        <f>Q291+R291</f>
        <v>0</v>
      </c>
    </row>
    <row r="292" spans="1:19" s="17" customFormat="1">
      <c r="A292" s="14" t="s">
        <v>189</v>
      </c>
      <c r="B292" s="15" t="s">
        <v>9</v>
      </c>
      <c r="C292" s="15" t="s">
        <v>107</v>
      </c>
      <c r="D292" s="15" t="s">
        <v>27</v>
      </c>
      <c r="E292" s="15" t="s">
        <v>190</v>
      </c>
      <c r="F292" s="15" t="s">
        <v>0</v>
      </c>
      <c r="G292" s="52">
        <f t="shared" ref="G292:S292" si="263">G293</f>
        <v>4810519.9000000004</v>
      </c>
      <c r="H292" s="52">
        <f t="shared" si="263"/>
        <v>761717.97000000032</v>
      </c>
      <c r="I292" s="52">
        <f t="shared" si="263"/>
        <v>5572237.8700000001</v>
      </c>
      <c r="J292" s="52">
        <f t="shared" si="263"/>
        <v>1961996.7000000002</v>
      </c>
      <c r="K292" s="52">
        <f t="shared" si="263"/>
        <v>7534234.5700000003</v>
      </c>
      <c r="L292" s="52">
        <f t="shared" si="263"/>
        <v>3607971</v>
      </c>
      <c r="M292" s="52">
        <f t="shared" si="263"/>
        <v>0</v>
      </c>
      <c r="N292" s="52">
        <f t="shared" si="263"/>
        <v>3607971</v>
      </c>
      <c r="O292" s="52">
        <f t="shared" si="263"/>
        <v>0</v>
      </c>
      <c r="P292" s="52">
        <f t="shared" si="263"/>
        <v>3607971</v>
      </c>
      <c r="Q292" s="52">
        <f t="shared" si="263"/>
        <v>3607971</v>
      </c>
      <c r="R292" s="52">
        <f t="shared" si="263"/>
        <v>0</v>
      </c>
      <c r="S292" s="52">
        <f t="shared" si="263"/>
        <v>3607971</v>
      </c>
    </row>
    <row r="293" spans="1:19" s="17" customFormat="1" ht="15" customHeight="1">
      <c r="A293" s="18" t="s">
        <v>191</v>
      </c>
      <c r="B293" s="19" t="s">
        <v>9</v>
      </c>
      <c r="C293" s="19" t="s">
        <v>107</v>
      </c>
      <c r="D293" s="19" t="s">
        <v>27</v>
      </c>
      <c r="E293" s="19" t="s">
        <v>192</v>
      </c>
      <c r="F293" s="19" t="s">
        <v>0</v>
      </c>
      <c r="G293" s="33">
        <f t="shared" ref="G293:S293" si="264">G294+G295+G296</f>
        <v>4810519.9000000004</v>
      </c>
      <c r="H293" s="33">
        <f t="shared" si="264"/>
        <v>761717.97000000032</v>
      </c>
      <c r="I293" s="33">
        <f t="shared" si="264"/>
        <v>5572237.8700000001</v>
      </c>
      <c r="J293" s="33">
        <f t="shared" ref="J293:K293" si="265">J294+J295+J296</f>
        <v>1961996.7000000002</v>
      </c>
      <c r="K293" s="33">
        <f t="shared" si="265"/>
        <v>7534234.5700000003</v>
      </c>
      <c r="L293" s="33">
        <f t="shared" si="264"/>
        <v>3607971</v>
      </c>
      <c r="M293" s="33">
        <f t="shared" si="264"/>
        <v>0</v>
      </c>
      <c r="N293" s="33">
        <f t="shared" si="264"/>
        <v>3607971</v>
      </c>
      <c r="O293" s="33">
        <f t="shared" ref="O293:P293" si="266">O294+O295+O296</f>
        <v>0</v>
      </c>
      <c r="P293" s="33">
        <f t="shared" si="266"/>
        <v>3607971</v>
      </c>
      <c r="Q293" s="33">
        <f t="shared" si="264"/>
        <v>3607971</v>
      </c>
      <c r="R293" s="33">
        <f t="shared" si="264"/>
        <v>0</v>
      </c>
      <c r="S293" s="33">
        <f t="shared" si="264"/>
        <v>3607971</v>
      </c>
    </row>
    <row r="294" spans="1:19" s="17" customFormat="1">
      <c r="A294" s="21" t="s">
        <v>21</v>
      </c>
      <c r="B294" s="22" t="s">
        <v>9</v>
      </c>
      <c r="C294" s="22" t="s">
        <v>107</v>
      </c>
      <c r="D294" s="22" t="s">
        <v>27</v>
      </c>
      <c r="E294" s="22" t="s">
        <v>192</v>
      </c>
      <c r="F294" s="22" t="s">
        <v>22</v>
      </c>
      <c r="G294" s="46">
        <v>975593.9</v>
      </c>
      <c r="H294" s="46">
        <f>23445.6+1109451.1-179174.7-196419.2+4415.17</f>
        <v>761717.97000000032</v>
      </c>
      <c r="I294" s="46">
        <f>G294+H294</f>
        <v>1737311.8700000003</v>
      </c>
      <c r="J294" s="46">
        <f>1253374.8+410883</f>
        <v>1664257.8</v>
      </c>
      <c r="K294" s="46">
        <f>I294+J294</f>
        <v>3401569.6700000004</v>
      </c>
      <c r="L294" s="46">
        <v>600000</v>
      </c>
      <c r="M294" s="46">
        <v>0</v>
      </c>
      <c r="N294" s="46">
        <f>L294+M294</f>
        <v>600000</v>
      </c>
      <c r="O294" s="46">
        <v>0</v>
      </c>
      <c r="P294" s="46">
        <f>N294+O294</f>
        <v>600000</v>
      </c>
      <c r="Q294" s="46">
        <v>600000</v>
      </c>
      <c r="R294" s="46">
        <v>0</v>
      </c>
      <c r="S294" s="46">
        <f>Q294+R294</f>
        <v>600000</v>
      </c>
    </row>
    <row r="295" spans="1:19" s="17" customFormat="1" hidden="1" outlineLevel="1">
      <c r="A295" s="21" t="s">
        <v>38</v>
      </c>
      <c r="B295" s="22" t="s">
        <v>9</v>
      </c>
      <c r="C295" s="22" t="s">
        <v>107</v>
      </c>
      <c r="D295" s="22" t="s">
        <v>27</v>
      </c>
      <c r="E295" s="22" t="s">
        <v>192</v>
      </c>
      <c r="F295" s="22" t="s">
        <v>39</v>
      </c>
      <c r="G295" s="46">
        <v>0</v>
      </c>
      <c r="H295" s="46">
        <v>0</v>
      </c>
      <c r="I295" s="46">
        <f>G295+H295</f>
        <v>0</v>
      </c>
      <c r="J295" s="46">
        <v>0</v>
      </c>
      <c r="K295" s="46">
        <f>I295+J295</f>
        <v>0</v>
      </c>
      <c r="L295" s="46">
        <v>0</v>
      </c>
      <c r="M295" s="46">
        <v>0</v>
      </c>
      <c r="N295" s="46">
        <f t="shared" ref="N295:N296" si="267">L295+M295</f>
        <v>0</v>
      </c>
      <c r="O295" s="46">
        <v>0</v>
      </c>
      <c r="P295" s="46">
        <f t="shared" ref="P295:P296" si="268">N295+O295</f>
        <v>0</v>
      </c>
      <c r="Q295" s="46">
        <v>0</v>
      </c>
      <c r="R295" s="46">
        <v>0</v>
      </c>
      <c r="S295" s="46">
        <f t="shared" ref="S295:S296" si="269">Q295+R295</f>
        <v>0</v>
      </c>
    </row>
    <row r="296" spans="1:19" s="17" customFormat="1" collapsed="1">
      <c r="A296" s="21" t="s">
        <v>40</v>
      </c>
      <c r="B296" s="22" t="s">
        <v>9</v>
      </c>
      <c r="C296" s="22" t="s">
        <v>107</v>
      </c>
      <c r="D296" s="22" t="s">
        <v>27</v>
      </c>
      <c r="E296" s="22" t="s">
        <v>192</v>
      </c>
      <c r="F296" s="22" t="s">
        <v>41</v>
      </c>
      <c r="G296" s="46">
        <v>3834926</v>
      </c>
      <c r="H296" s="46">
        <v>0</v>
      </c>
      <c r="I296" s="46">
        <f>G296+H296</f>
        <v>3834926</v>
      </c>
      <c r="J296" s="46">
        <v>297738.90000000002</v>
      </c>
      <c r="K296" s="46">
        <f>I296+J296</f>
        <v>4132664.9</v>
      </c>
      <c r="L296" s="46">
        <v>3007971</v>
      </c>
      <c r="M296" s="46">
        <v>0</v>
      </c>
      <c r="N296" s="46">
        <f t="shared" si="267"/>
        <v>3007971</v>
      </c>
      <c r="O296" s="46">
        <v>0</v>
      </c>
      <c r="P296" s="46">
        <f t="shared" si="268"/>
        <v>3007971</v>
      </c>
      <c r="Q296" s="46">
        <v>3007971</v>
      </c>
      <c r="R296" s="46">
        <v>0</v>
      </c>
      <c r="S296" s="46">
        <f t="shared" si="269"/>
        <v>3007971</v>
      </c>
    </row>
    <row r="297" spans="1:19" s="17" customFormat="1">
      <c r="A297" s="14" t="s">
        <v>193</v>
      </c>
      <c r="B297" s="15" t="s">
        <v>9</v>
      </c>
      <c r="C297" s="15" t="s">
        <v>107</v>
      </c>
      <c r="D297" s="15" t="s">
        <v>12</v>
      </c>
      <c r="E297" s="15" t="s">
        <v>0</v>
      </c>
      <c r="F297" s="15" t="s">
        <v>0</v>
      </c>
      <c r="G297" s="16">
        <f t="shared" ref="G297:S297" si="270">G298</f>
        <v>70478547.200000003</v>
      </c>
      <c r="H297" s="16">
        <f t="shared" si="270"/>
        <v>44056904.659999996</v>
      </c>
      <c r="I297" s="16">
        <f t="shared" si="270"/>
        <v>114535451.86</v>
      </c>
      <c r="J297" s="16">
        <f t="shared" si="270"/>
        <v>19244080.919999998</v>
      </c>
      <c r="K297" s="16">
        <f t="shared" si="270"/>
        <v>133779532.78</v>
      </c>
      <c r="L297" s="16">
        <f t="shared" si="270"/>
        <v>60141179.090000004</v>
      </c>
      <c r="M297" s="16">
        <f t="shared" si="270"/>
        <v>0</v>
      </c>
      <c r="N297" s="16">
        <f t="shared" si="270"/>
        <v>60141179.090000004</v>
      </c>
      <c r="O297" s="16">
        <f t="shared" si="270"/>
        <v>0</v>
      </c>
      <c r="P297" s="16">
        <f t="shared" si="270"/>
        <v>60141179.090000004</v>
      </c>
      <c r="Q297" s="16">
        <f t="shared" si="270"/>
        <v>60090373.610000007</v>
      </c>
      <c r="R297" s="16">
        <f t="shared" si="270"/>
        <v>0</v>
      </c>
      <c r="S297" s="16">
        <f t="shared" si="270"/>
        <v>60090373.610000007</v>
      </c>
    </row>
    <row r="298" spans="1:19" s="17" customFormat="1" ht="25.5">
      <c r="A298" s="14" t="s">
        <v>172</v>
      </c>
      <c r="B298" s="15" t="s">
        <v>9</v>
      </c>
      <c r="C298" s="15" t="s">
        <v>107</v>
      </c>
      <c r="D298" s="15" t="s">
        <v>12</v>
      </c>
      <c r="E298" s="15" t="s">
        <v>173</v>
      </c>
      <c r="F298" s="15" t="s">
        <v>0</v>
      </c>
      <c r="G298" s="16">
        <f t="shared" ref="G298:S298" si="271">G299+G302</f>
        <v>70478547.200000003</v>
      </c>
      <c r="H298" s="16">
        <f t="shared" si="271"/>
        <v>44056904.659999996</v>
      </c>
      <c r="I298" s="16">
        <f t="shared" si="271"/>
        <v>114535451.86</v>
      </c>
      <c r="J298" s="16">
        <f t="shared" ref="J298:K298" si="272">J299+J302</f>
        <v>19244080.919999998</v>
      </c>
      <c r="K298" s="16">
        <f t="shared" si="272"/>
        <v>133779532.78</v>
      </c>
      <c r="L298" s="16">
        <f t="shared" si="271"/>
        <v>60141179.090000004</v>
      </c>
      <c r="M298" s="16">
        <f t="shared" si="271"/>
        <v>0</v>
      </c>
      <c r="N298" s="16">
        <f t="shared" si="271"/>
        <v>60141179.090000004</v>
      </c>
      <c r="O298" s="16">
        <f t="shared" ref="O298:P298" si="273">O299+O302</f>
        <v>0</v>
      </c>
      <c r="P298" s="16">
        <f t="shared" si="273"/>
        <v>60141179.090000004</v>
      </c>
      <c r="Q298" s="16">
        <f t="shared" si="271"/>
        <v>60090373.610000007</v>
      </c>
      <c r="R298" s="16">
        <f t="shared" si="271"/>
        <v>0</v>
      </c>
      <c r="S298" s="16">
        <f t="shared" si="271"/>
        <v>60090373.610000007</v>
      </c>
    </row>
    <row r="299" spans="1:19" s="17" customFormat="1" ht="25.5" hidden="1" customHeight="1" outlineLevel="1">
      <c r="A299" s="14" t="s">
        <v>194</v>
      </c>
      <c r="B299" s="15" t="s">
        <v>9</v>
      </c>
      <c r="C299" s="15" t="s">
        <v>107</v>
      </c>
      <c r="D299" s="15" t="s">
        <v>12</v>
      </c>
      <c r="E299" s="15" t="s">
        <v>195</v>
      </c>
      <c r="F299" s="15" t="s">
        <v>0</v>
      </c>
      <c r="G299" s="16">
        <f t="shared" ref="G299:S300" si="274">G300</f>
        <v>0</v>
      </c>
      <c r="H299" s="16">
        <f t="shared" si="274"/>
        <v>0</v>
      </c>
      <c r="I299" s="16">
        <f t="shared" si="274"/>
        <v>0</v>
      </c>
      <c r="J299" s="16">
        <f t="shared" si="274"/>
        <v>0</v>
      </c>
      <c r="K299" s="16">
        <f t="shared" si="274"/>
        <v>0</v>
      </c>
      <c r="L299" s="16">
        <f t="shared" si="274"/>
        <v>0</v>
      </c>
      <c r="M299" s="16">
        <f t="shared" si="274"/>
        <v>0</v>
      </c>
      <c r="N299" s="16">
        <f t="shared" si="274"/>
        <v>0</v>
      </c>
      <c r="O299" s="16">
        <f t="shared" si="274"/>
        <v>0</v>
      </c>
      <c r="P299" s="16">
        <f t="shared" si="274"/>
        <v>0</v>
      </c>
      <c r="Q299" s="16">
        <f t="shared" si="274"/>
        <v>0</v>
      </c>
      <c r="R299" s="16">
        <f t="shared" si="274"/>
        <v>0</v>
      </c>
      <c r="S299" s="16">
        <f t="shared" si="274"/>
        <v>0</v>
      </c>
    </row>
    <row r="300" spans="1:19" s="17" customFormat="1" ht="39.75" hidden="1" customHeight="1" outlineLevel="1">
      <c r="A300" s="18" t="s">
        <v>196</v>
      </c>
      <c r="B300" s="19" t="s">
        <v>9</v>
      </c>
      <c r="C300" s="19" t="s">
        <v>107</v>
      </c>
      <c r="D300" s="19" t="s">
        <v>12</v>
      </c>
      <c r="E300" s="19" t="s">
        <v>197</v>
      </c>
      <c r="F300" s="19" t="s">
        <v>0</v>
      </c>
      <c r="G300" s="20">
        <f t="shared" si="274"/>
        <v>0</v>
      </c>
      <c r="H300" s="20">
        <f t="shared" si="274"/>
        <v>0</v>
      </c>
      <c r="I300" s="20">
        <f t="shared" si="274"/>
        <v>0</v>
      </c>
      <c r="J300" s="20">
        <f t="shared" si="274"/>
        <v>0</v>
      </c>
      <c r="K300" s="20">
        <f t="shared" si="274"/>
        <v>0</v>
      </c>
      <c r="L300" s="20">
        <f t="shared" si="274"/>
        <v>0</v>
      </c>
      <c r="M300" s="20">
        <f t="shared" si="274"/>
        <v>0</v>
      </c>
      <c r="N300" s="20">
        <f t="shared" si="274"/>
        <v>0</v>
      </c>
      <c r="O300" s="20">
        <f t="shared" si="274"/>
        <v>0</v>
      </c>
      <c r="P300" s="20">
        <f t="shared" si="274"/>
        <v>0</v>
      </c>
      <c r="Q300" s="20">
        <f t="shared" si="274"/>
        <v>0</v>
      </c>
      <c r="R300" s="20">
        <f t="shared" si="274"/>
        <v>0</v>
      </c>
      <c r="S300" s="20">
        <f t="shared" si="274"/>
        <v>0</v>
      </c>
    </row>
    <row r="301" spans="1:19" s="17" customFormat="1" hidden="1" outlineLevel="1">
      <c r="A301" s="21" t="s">
        <v>21</v>
      </c>
      <c r="B301" s="22" t="s">
        <v>9</v>
      </c>
      <c r="C301" s="22" t="s">
        <v>107</v>
      </c>
      <c r="D301" s="22" t="s">
        <v>12</v>
      </c>
      <c r="E301" s="22" t="s">
        <v>197</v>
      </c>
      <c r="F301" s="22" t="s">
        <v>22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</row>
    <row r="302" spans="1:19" s="17" customFormat="1" collapsed="1">
      <c r="A302" s="14" t="s">
        <v>174</v>
      </c>
      <c r="B302" s="15" t="s">
        <v>9</v>
      </c>
      <c r="C302" s="15" t="s">
        <v>107</v>
      </c>
      <c r="D302" s="15" t="s">
        <v>12</v>
      </c>
      <c r="E302" s="15" t="s">
        <v>175</v>
      </c>
      <c r="F302" s="15" t="s">
        <v>0</v>
      </c>
      <c r="G302" s="16">
        <f t="shared" ref="G302:I302" si="275">G303+G305+G307+G310+G312+G321+G319+G323+G325+G316</f>
        <v>70478547.200000003</v>
      </c>
      <c r="H302" s="16">
        <f t="shared" si="275"/>
        <v>44056904.659999996</v>
      </c>
      <c r="I302" s="16">
        <f t="shared" si="275"/>
        <v>114535451.86</v>
      </c>
      <c r="J302" s="16">
        <f>J303+J305+J307+J310+J312+J321+J319+J323+J325+J316</f>
        <v>19244080.919999998</v>
      </c>
      <c r="K302" s="16">
        <f t="shared" ref="K302:S302" si="276">K303+K305+K307+K310+K312+K321+K319+K323+K325+K316</f>
        <v>133779532.78</v>
      </c>
      <c r="L302" s="16">
        <f t="shared" si="276"/>
        <v>60141179.090000004</v>
      </c>
      <c r="M302" s="16">
        <f t="shared" si="276"/>
        <v>0</v>
      </c>
      <c r="N302" s="16">
        <f t="shared" si="276"/>
        <v>60141179.090000004</v>
      </c>
      <c r="O302" s="16">
        <f t="shared" si="276"/>
        <v>0</v>
      </c>
      <c r="P302" s="16">
        <f t="shared" si="276"/>
        <v>60141179.090000004</v>
      </c>
      <c r="Q302" s="16">
        <f t="shared" si="276"/>
        <v>60090373.610000007</v>
      </c>
      <c r="R302" s="16">
        <f t="shared" si="276"/>
        <v>0</v>
      </c>
      <c r="S302" s="16">
        <f t="shared" si="276"/>
        <v>60090373.610000007</v>
      </c>
    </row>
    <row r="303" spans="1:19" s="17" customFormat="1" ht="13.5">
      <c r="A303" s="18" t="s">
        <v>198</v>
      </c>
      <c r="B303" s="19" t="s">
        <v>9</v>
      </c>
      <c r="C303" s="19" t="s">
        <v>107</v>
      </c>
      <c r="D303" s="19" t="s">
        <v>12</v>
      </c>
      <c r="E303" s="19" t="s">
        <v>199</v>
      </c>
      <c r="F303" s="19" t="s">
        <v>0</v>
      </c>
      <c r="G303" s="33">
        <f t="shared" ref="G303:S303" si="277">G304</f>
        <v>13609134.85</v>
      </c>
      <c r="H303" s="33">
        <f t="shared" si="277"/>
        <v>142791.26999999984</v>
      </c>
      <c r="I303" s="33">
        <f t="shared" si="277"/>
        <v>13751926.119999999</v>
      </c>
      <c r="J303" s="33">
        <f t="shared" si="277"/>
        <v>0</v>
      </c>
      <c r="K303" s="33">
        <f t="shared" si="277"/>
        <v>13751926.119999999</v>
      </c>
      <c r="L303" s="33">
        <f t="shared" si="277"/>
        <v>13090408.890000001</v>
      </c>
      <c r="M303" s="33">
        <f t="shared" si="277"/>
        <v>0</v>
      </c>
      <c r="N303" s="33">
        <f t="shared" si="277"/>
        <v>13090408.890000001</v>
      </c>
      <c r="O303" s="33">
        <f t="shared" si="277"/>
        <v>0</v>
      </c>
      <c r="P303" s="33">
        <f t="shared" si="277"/>
        <v>13090408.890000001</v>
      </c>
      <c r="Q303" s="33">
        <f t="shared" si="277"/>
        <v>13090408.890000001</v>
      </c>
      <c r="R303" s="33">
        <f t="shared" si="277"/>
        <v>0</v>
      </c>
      <c r="S303" s="33">
        <f t="shared" si="277"/>
        <v>13090408.890000001</v>
      </c>
    </row>
    <row r="304" spans="1:19" s="17" customFormat="1">
      <c r="A304" s="21" t="s">
        <v>21</v>
      </c>
      <c r="B304" s="22" t="s">
        <v>9</v>
      </c>
      <c r="C304" s="22" t="s">
        <v>107</v>
      </c>
      <c r="D304" s="22" t="s">
        <v>12</v>
      </c>
      <c r="E304" s="22" t="s">
        <v>199</v>
      </c>
      <c r="F304" s="22" t="s">
        <v>22</v>
      </c>
      <c r="G304" s="46">
        <v>13609134.85</v>
      </c>
      <c r="H304" s="46">
        <f>-1109451.1+770391.83+481850.54</f>
        <v>142791.26999999984</v>
      </c>
      <c r="I304" s="46">
        <f>G304+H304</f>
        <v>13751926.119999999</v>
      </c>
      <c r="J304" s="46"/>
      <c r="K304" s="46">
        <f>I304+J304</f>
        <v>13751926.119999999</v>
      </c>
      <c r="L304" s="46">
        <v>13090408.890000001</v>
      </c>
      <c r="M304" s="46">
        <v>0</v>
      </c>
      <c r="N304" s="46">
        <f>L304+M304</f>
        <v>13090408.890000001</v>
      </c>
      <c r="O304" s="46">
        <v>0</v>
      </c>
      <c r="P304" s="46">
        <f>N304+O304</f>
        <v>13090408.890000001</v>
      </c>
      <c r="Q304" s="46">
        <v>13090408.890000001</v>
      </c>
      <c r="R304" s="46">
        <v>0</v>
      </c>
      <c r="S304" s="46">
        <f>Q304+R304</f>
        <v>13090408.890000001</v>
      </c>
    </row>
    <row r="305" spans="1:19" s="17" customFormat="1" ht="13.5">
      <c r="A305" s="18" t="s">
        <v>200</v>
      </c>
      <c r="B305" s="19" t="s">
        <v>9</v>
      </c>
      <c r="C305" s="19" t="s">
        <v>107</v>
      </c>
      <c r="D305" s="19" t="s">
        <v>12</v>
      </c>
      <c r="E305" s="19" t="s">
        <v>201</v>
      </c>
      <c r="F305" s="19" t="s">
        <v>0</v>
      </c>
      <c r="G305" s="20">
        <f t="shared" ref="G305:S305" si="278">G306</f>
        <v>2500000</v>
      </c>
      <c r="H305" s="20">
        <f t="shared" si="278"/>
        <v>9009000</v>
      </c>
      <c r="I305" s="20">
        <f t="shared" si="278"/>
        <v>11509000</v>
      </c>
      <c r="J305" s="20">
        <f t="shared" si="278"/>
        <v>817655.23</v>
      </c>
      <c r="K305" s="20">
        <f t="shared" si="278"/>
        <v>12326655.23</v>
      </c>
      <c r="L305" s="20">
        <f t="shared" si="278"/>
        <v>3575000</v>
      </c>
      <c r="M305" s="20">
        <f t="shared" si="278"/>
        <v>0</v>
      </c>
      <c r="N305" s="20">
        <f t="shared" si="278"/>
        <v>3575000</v>
      </c>
      <c r="O305" s="20">
        <f t="shared" si="278"/>
        <v>0</v>
      </c>
      <c r="P305" s="20">
        <f t="shared" si="278"/>
        <v>3575000</v>
      </c>
      <c r="Q305" s="20">
        <f t="shared" si="278"/>
        <v>3575000</v>
      </c>
      <c r="R305" s="20">
        <f t="shared" si="278"/>
        <v>0</v>
      </c>
      <c r="S305" s="20">
        <f t="shared" si="278"/>
        <v>3575000</v>
      </c>
    </row>
    <row r="306" spans="1:19" s="17" customFormat="1">
      <c r="A306" s="21" t="s">
        <v>21</v>
      </c>
      <c r="B306" s="22" t="s">
        <v>9</v>
      </c>
      <c r="C306" s="48" t="s">
        <v>107</v>
      </c>
      <c r="D306" s="48" t="s">
        <v>12</v>
      </c>
      <c r="E306" s="22" t="s">
        <v>201</v>
      </c>
      <c r="F306" s="22" t="s">
        <v>22</v>
      </c>
      <c r="G306" s="46">
        <v>2500000</v>
      </c>
      <c r="H306" s="46">
        <v>9009000</v>
      </c>
      <c r="I306" s="46">
        <f>G306+H306</f>
        <v>11509000</v>
      </c>
      <c r="J306" s="46">
        <f>408366+409289.23</f>
        <v>817655.23</v>
      </c>
      <c r="K306" s="46">
        <f>I306+J306</f>
        <v>12326655.23</v>
      </c>
      <c r="L306" s="46">
        <v>3575000</v>
      </c>
      <c r="M306" s="46">
        <v>0</v>
      </c>
      <c r="N306" s="46">
        <f>L306+M306</f>
        <v>3575000</v>
      </c>
      <c r="O306" s="46">
        <v>0</v>
      </c>
      <c r="P306" s="46">
        <f>N306+O306</f>
        <v>3575000</v>
      </c>
      <c r="Q306" s="46">
        <v>3575000</v>
      </c>
      <c r="R306" s="46">
        <v>0</v>
      </c>
      <c r="S306" s="46">
        <f>Q306+R306</f>
        <v>3575000</v>
      </c>
    </row>
    <row r="307" spans="1:19" s="17" customFormat="1" ht="15" customHeight="1">
      <c r="A307" s="18" t="s">
        <v>202</v>
      </c>
      <c r="B307" s="19" t="s">
        <v>9</v>
      </c>
      <c r="C307" s="19" t="s">
        <v>107</v>
      </c>
      <c r="D307" s="19" t="s">
        <v>12</v>
      </c>
      <c r="E307" s="19" t="s">
        <v>203</v>
      </c>
      <c r="F307" s="19" t="s">
        <v>0</v>
      </c>
      <c r="G307" s="33">
        <f t="shared" ref="G307:S307" si="279">G309+G308</f>
        <v>6059937.1200000001</v>
      </c>
      <c r="H307" s="33">
        <f t="shared" si="279"/>
        <v>-204179.19</v>
      </c>
      <c r="I307" s="33">
        <f t="shared" si="279"/>
        <v>5855757.9299999997</v>
      </c>
      <c r="J307" s="33">
        <f t="shared" ref="J307:K307" si="280">J309+J308</f>
        <v>0</v>
      </c>
      <c r="K307" s="33">
        <f t="shared" si="280"/>
        <v>5855757.9299999997</v>
      </c>
      <c r="L307" s="33">
        <f t="shared" si="279"/>
        <v>6031430.6699999999</v>
      </c>
      <c r="M307" s="33">
        <f t="shared" si="279"/>
        <v>0</v>
      </c>
      <c r="N307" s="33">
        <f t="shared" si="279"/>
        <v>6031430.6699999999</v>
      </c>
      <c r="O307" s="33">
        <f t="shared" ref="O307:P307" si="281">O309+O308</f>
        <v>0</v>
      </c>
      <c r="P307" s="33">
        <f t="shared" si="281"/>
        <v>6031430.6699999999</v>
      </c>
      <c r="Q307" s="33">
        <f t="shared" si="279"/>
        <v>6031430.6699999999</v>
      </c>
      <c r="R307" s="33">
        <f t="shared" si="279"/>
        <v>0</v>
      </c>
      <c r="S307" s="33">
        <f t="shared" si="279"/>
        <v>6031430.6699999999</v>
      </c>
    </row>
    <row r="308" spans="1:19" s="17" customFormat="1" ht="15" customHeight="1">
      <c r="A308" s="21" t="s">
        <v>21</v>
      </c>
      <c r="B308" s="22" t="s">
        <v>9</v>
      </c>
      <c r="C308" s="22" t="s">
        <v>107</v>
      </c>
      <c r="D308" s="22" t="s">
        <v>12</v>
      </c>
      <c r="E308" s="22" t="s">
        <v>203</v>
      </c>
      <c r="F308" s="22" t="s">
        <v>22</v>
      </c>
      <c r="G308" s="75">
        <v>204179.19</v>
      </c>
      <c r="H308" s="75">
        <v>-204179.19</v>
      </c>
      <c r="I308" s="75">
        <f>G308+H308</f>
        <v>0</v>
      </c>
      <c r="J308" s="75"/>
      <c r="K308" s="75">
        <f>I308+J308</f>
        <v>0</v>
      </c>
      <c r="L308" s="75">
        <v>0</v>
      </c>
      <c r="M308" s="75">
        <v>0</v>
      </c>
      <c r="N308" s="75">
        <f>L308+M308</f>
        <v>0</v>
      </c>
      <c r="O308" s="75">
        <v>0</v>
      </c>
      <c r="P308" s="75">
        <f>N308+O308</f>
        <v>0</v>
      </c>
      <c r="Q308" s="75">
        <v>0</v>
      </c>
      <c r="R308" s="75">
        <v>0</v>
      </c>
      <c r="S308" s="75">
        <f>Q308+R308</f>
        <v>0</v>
      </c>
    </row>
    <row r="309" spans="1:19" s="17" customFormat="1">
      <c r="A309" s="21" t="s">
        <v>128</v>
      </c>
      <c r="B309" s="22" t="s">
        <v>9</v>
      </c>
      <c r="C309" s="22" t="s">
        <v>107</v>
      </c>
      <c r="D309" s="22" t="s">
        <v>12</v>
      </c>
      <c r="E309" s="22" t="s">
        <v>203</v>
      </c>
      <c r="F309" s="48" t="s">
        <v>129</v>
      </c>
      <c r="G309" s="46">
        <f>5855757.93</f>
        <v>5855757.9299999997</v>
      </c>
      <c r="H309" s="46">
        <v>0</v>
      </c>
      <c r="I309" s="75">
        <f>G309+H309</f>
        <v>5855757.9299999997</v>
      </c>
      <c r="J309" s="46">
        <v>0</v>
      </c>
      <c r="K309" s="75">
        <f>I309+J309</f>
        <v>5855757.9299999997</v>
      </c>
      <c r="L309" s="46">
        <v>6031430.6699999999</v>
      </c>
      <c r="M309" s="46">
        <v>0</v>
      </c>
      <c r="N309" s="46">
        <f>L309+M309</f>
        <v>6031430.6699999999</v>
      </c>
      <c r="O309" s="46">
        <v>0</v>
      </c>
      <c r="P309" s="46">
        <f>N309+O309</f>
        <v>6031430.6699999999</v>
      </c>
      <c r="Q309" s="46">
        <v>6031430.6699999999</v>
      </c>
      <c r="R309" s="46">
        <v>0</v>
      </c>
      <c r="S309" s="46">
        <f>Q309+R309</f>
        <v>6031430.6699999999</v>
      </c>
    </row>
    <row r="310" spans="1:19" s="17" customFormat="1" ht="13.5">
      <c r="A310" s="18" t="s">
        <v>204</v>
      </c>
      <c r="B310" s="19" t="s">
        <v>9</v>
      </c>
      <c r="C310" s="19" t="s">
        <v>107</v>
      </c>
      <c r="D310" s="19" t="s">
        <v>12</v>
      </c>
      <c r="E310" s="19" t="s">
        <v>205</v>
      </c>
      <c r="F310" s="19" t="s">
        <v>0</v>
      </c>
      <c r="G310" s="33">
        <f t="shared" ref="G310:S310" si="282">G311</f>
        <v>18037745.600000001</v>
      </c>
      <c r="H310" s="33">
        <f t="shared" si="282"/>
        <v>1260515.1299999999</v>
      </c>
      <c r="I310" s="33">
        <f t="shared" si="282"/>
        <v>19298260.73</v>
      </c>
      <c r="J310" s="33">
        <f t="shared" si="282"/>
        <v>0</v>
      </c>
      <c r="K310" s="33">
        <f t="shared" si="282"/>
        <v>19298260.73</v>
      </c>
      <c r="L310" s="33">
        <f t="shared" si="282"/>
        <v>18557891.949999999</v>
      </c>
      <c r="M310" s="33">
        <f t="shared" si="282"/>
        <v>0</v>
      </c>
      <c r="N310" s="33">
        <f t="shared" si="282"/>
        <v>18557891.949999999</v>
      </c>
      <c r="O310" s="33">
        <f t="shared" si="282"/>
        <v>0</v>
      </c>
      <c r="P310" s="33">
        <f t="shared" si="282"/>
        <v>18557891.949999999</v>
      </c>
      <c r="Q310" s="33">
        <f t="shared" si="282"/>
        <v>18557891.949999999</v>
      </c>
      <c r="R310" s="33">
        <f t="shared" si="282"/>
        <v>0</v>
      </c>
      <c r="S310" s="33">
        <f t="shared" si="282"/>
        <v>18557891.949999999</v>
      </c>
    </row>
    <row r="311" spans="1:19" s="17" customFormat="1">
      <c r="A311" s="21" t="s">
        <v>21</v>
      </c>
      <c r="B311" s="22" t="s">
        <v>9</v>
      </c>
      <c r="C311" s="22" t="s">
        <v>107</v>
      </c>
      <c r="D311" s="22" t="s">
        <v>12</v>
      </c>
      <c r="E311" s="22" t="s">
        <v>205</v>
      </c>
      <c r="F311" s="22" t="s">
        <v>22</v>
      </c>
      <c r="G311" s="46">
        <v>18037745.600000001</v>
      </c>
      <c r="H311" s="46">
        <f>400000+551711.85+308803.28</f>
        <v>1260515.1299999999</v>
      </c>
      <c r="I311" s="46">
        <f>G311+H311</f>
        <v>19298260.73</v>
      </c>
      <c r="J311" s="46"/>
      <c r="K311" s="46">
        <f>I311+J311</f>
        <v>19298260.73</v>
      </c>
      <c r="L311" s="46">
        <v>18557891.949999999</v>
      </c>
      <c r="M311" s="46">
        <v>0</v>
      </c>
      <c r="N311" s="46">
        <f>L311+M311</f>
        <v>18557891.949999999</v>
      </c>
      <c r="O311" s="46">
        <v>0</v>
      </c>
      <c r="P311" s="46">
        <f>N311+O311</f>
        <v>18557891.949999999</v>
      </c>
      <c r="Q311" s="46">
        <v>18557891.949999999</v>
      </c>
      <c r="R311" s="46">
        <v>0</v>
      </c>
      <c r="S311" s="46">
        <f>Q311+R311</f>
        <v>18557891.949999999</v>
      </c>
    </row>
    <row r="312" spans="1:19" s="17" customFormat="1" ht="13.5" customHeight="1">
      <c r="A312" s="18" t="s">
        <v>206</v>
      </c>
      <c r="B312" s="19" t="s">
        <v>9</v>
      </c>
      <c r="C312" s="19" t="s">
        <v>107</v>
      </c>
      <c r="D312" s="19" t="s">
        <v>12</v>
      </c>
      <c r="E312" s="19" t="s">
        <v>207</v>
      </c>
      <c r="F312" s="19" t="s">
        <v>0</v>
      </c>
      <c r="G312" s="33">
        <f t="shared" ref="G312:S312" si="283">G313+G314+G315</f>
        <v>23146729.629999999</v>
      </c>
      <c r="H312" s="33">
        <f t="shared" si="283"/>
        <v>11401949.98</v>
      </c>
      <c r="I312" s="33">
        <f t="shared" si="283"/>
        <v>34548679.609999999</v>
      </c>
      <c r="J312" s="33">
        <f t="shared" ref="J312:K312" si="284">J313+J314+J315</f>
        <v>14329563.689999999</v>
      </c>
      <c r="K312" s="33">
        <f t="shared" si="284"/>
        <v>48878243.299999997</v>
      </c>
      <c r="L312" s="33">
        <f t="shared" si="283"/>
        <v>16261447.58</v>
      </c>
      <c r="M312" s="33">
        <f t="shared" si="283"/>
        <v>0</v>
      </c>
      <c r="N312" s="33">
        <f t="shared" si="283"/>
        <v>16261447.58</v>
      </c>
      <c r="O312" s="33">
        <f t="shared" ref="O312:P312" si="285">O313+O314+O315</f>
        <v>0</v>
      </c>
      <c r="P312" s="33">
        <f t="shared" si="285"/>
        <v>16261447.58</v>
      </c>
      <c r="Q312" s="33">
        <f t="shared" si="283"/>
        <v>16210642.1</v>
      </c>
      <c r="R312" s="33">
        <f t="shared" si="283"/>
        <v>0</v>
      </c>
      <c r="S312" s="33">
        <f t="shared" si="283"/>
        <v>16210642.1</v>
      </c>
    </row>
    <row r="313" spans="1:19" s="17" customFormat="1">
      <c r="A313" s="21" t="s">
        <v>21</v>
      </c>
      <c r="B313" s="22" t="s">
        <v>9</v>
      </c>
      <c r="C313" s="48" t="s">
        <v>107</v>
      </c>
      <c r="D313" s="48" t="s">
        <v>12</v>
      </c>
      <c r="E313" s="22" t="s">
        <v>207</v>
      </c>
      <c r="F313" s="22" t="s">
        <v>22</v>
      </c>
      <c r="G313" s="46">
        <v>9834130.4299999997</v>
      </c>
      <c r="H313" s="46">
        <f>2082503.89+990259.49+1000000+71443.8+51602+54900-94712.32-244252.8-662333.33-712426.43+14493.48+1700000+2000000+231057+1468304.4</f>
        <v>7950839.1799999997</v>
      </c>
      <c r="I313" s="46">
        <f>G313+H313</f>
        <v>17784969.609999999</v>
      </c>
      <c r="J313" s="46">
        <f>1000000-62041.76+766259.45+290000+103146+500000+14200</f>
        <v>2611563.69</v>
      </c>
      <c r="K313" s="46">
        <f>I313+J313</f>
        <v>20396533.300000001</v>
      </c>
      <c r="L313" s="46">
        <v>14036596.470000001</v>
      </c>
      <c r="M313" s="46">
        <v>0</v>
      </c>
      <c r="N313" s="46">
        <f>L313+M313</f>
        <v>14036596.470000001</v>
      </c>
      <c r="O313" s="46">
        <v>0</v>
      </c>
      <c r="P313" s="46">
        <f>N313+O313</f>
        <v>14036596.470000001</v>
      </c>
      <c r="Q313" s="46">
        <v>13979184.65</v>
      </c>
      <c r="R313" s="46">
        <v>0</v>
      </c>
      <c r="S313" s="46">
        <f>Q313+R313</f>
        <v>13979184.65</v>
      </c>
    </row>
    <row r="314" spans="1:19" s="17" customFormat="1" outlineLevel="1">
      <c r="A314" s="21" t="s">
        <v>72</v>
      </c>
      <c r="B314" s="22" t="s">
        <v>9</v>
      </c>
      <c r="C314" s="22" t="s">
        <v>107</v>
      </c>
      <c r="D314" s="22" t="s">
        <v>12</v>
      </c>
      <c r="E314" s="22" t="s">
        <v>207</v>
      </c>
      <c r="F314" s="22" t="s">
        <v>73</v>
      </c>
      <c r="G314" s="46">
        <v>550000</v>
      </c>
      <c r="H314" s="46">
        <v>0</v>
      </c>
      <c r="I314" s="46">
        <f>G314+H314</f>
        <v>550000</v>
      </c>
      <c r="J314" s="46">
        <v>0</v>
      </c>
      <c r="K314" s="46">
        <f>I314+J314</f>
        <v>550000</v>
      </c>
      <c r="L314" s="46">
        <v>550000</v>
      </c>
      <c r="M314" s="46">
        <v>0</v>
      </c>
      <c r="N314" s="46">
        <f>L314+M314</f>
        <v>550000</v>
      </c>
      <c r="O314" s="46">
        <v>0</v>
      </c>
      <c r="P314" s="46">
        <f>N314+O314</f>
        <v>550000</v>
      </c>
      <c r="Q314" s="46">
        <v>550000</v>
      </c>
      <c r="R314" s="46">
        <v>0</v>
      </c>
      <c r="S314" s="46">
        <f>Q314+R314</f>
        <v>550000</v>
      </c>
    </row>
    <row r="315" spans="1:19" s="17" customFormat="1" ht="15" customHeight="1" outlineLevel="1">
      <c r="A315" s="21" t="s">
        <v>38</v>
      </c>
      <c r="B315" s="22" t="s">
        <v>9</v>
      </c>
      <c r="C315" s="22" t="s">
        <v>107</v>
      </c>
      <c r="D315" s="22" t="s">
        <v>12</v>
      </c>
      <c r="E315" s="22" t="s">
        <v>207</v>
      </c>
      <c r="F315" s="22" t="s">
        <v>39</v>
      </c>
      <c r="G315" s="46">
        <f>1664686.86+11097912.34</f>
        <v>12762599.199999999</v>
      </c>
      <c r="H315" s="46">
        <f>100000-83003.03-553353.51-1289982.89-8599885.9+567304.5+10820484.5-288319.94-1922132.93+4700000</f>
        <v>3451110.8</v>
      </c>
      <c r="I315" s="46">
        <f>G315+H315</f>
        <v>16213710</v>
      </c>
      <c r="J315" s="46">
        <v>11718000</v>
      </c>
      <c r="K315" s="46">
        <f>I315+J315</f>
        <v>27931710</v>
      </c>
      <c r="L315" s="46">
        <v>1674851.11</v>
      </c>
      <c r="M315" s="46">
        <v>0</v>
      </c>
      <c r="N315" s="46">
        <f>L315+M315</f>
        <v>1674851.11</v>
      </c>
      <c r="O315" s="46">
        <v>0</v>
      </c>
      <c r="P315" s="46">
        <f>N315+O315</f>
        <v>1674851.11</v>
      </c>
      <c r="Q315" s="46">
        <v>1681457.45</v>
      </c>
      <c r="R315" s="46">
        <v>0</v>
      </c>
      <c r="S315" s="46">
        <f>Q315+R315</f>
        <v>1681457.45</v>
      </c>
    </row>
    <row r="316" spans="1:19" s="17" customFormat="1" ht="28.5" customHeight="1" outlineLevel="1">
      <c r="A316" s="42" t="s">
        <v>284</v>
      </c>
      <c r="B316" s="19" t="s">
        <v>9</v>
      </c>
      <c r="C316" s="19" t="s">
        <v>107</v>
      </c>
      <c r="D316" s="19" t="s">
        <v>12</v>
      </c>
      <c r="E316" s="19" t="s">
        <v>285</v>
      </c>
      <c r="F316" s="19" t="s">
        <v>0</v>
      </c>
      <c r="G316" s="20">
        <f>G317</f>
        <v>0</v>
      </c>
      <c r="H316" s="20">
        <f>H317+H318</f>
        <v>22446827.469999999</v>
      </c>
      <c r="I316" s="20">
        <f t="shared" ref="I316:S316" si="286">I317+I318</f>
        <v>22446827.469999999</v>
      </c>
      <c r="J316" s="20">
        <f>J317+J318</f>
        <v>-659016.80000000005</v>
      </c>
      <c r="K316" s="20">
        <f t="shared" ref="K316" si="287">K317+K318</f>
        <v>21787810.670000002</v>
      </c>
      <c r="L316" s="20">
        <f t="shared" si="286"/>
        <v>0</v>
      </c>
      <c r="M316" s="20">
        <f t="shared" si="286"/>
        <v>0</v>
      </c>
      <c r="N316" s="20">
        <f t="shared" si="286"/>
        <v>0</v>
      </c>
      <c r="O316" s="20">
        <f t="shared" ref="O316:P316" si="288">O317+O318</f>
        <v>0</v>
      </c>
      <c r="P316" s="20">
        <f t="shared" si="288"/>
        <v>0</v>
      </c>
      <c r="Q316" s="20">
        <f t="shared" si="286"/>
        <v>0</v>
      </c>
      <c r="R316" s="20">
        <f t="shared" si="286"/>
        <v>0</v>
      </c>
      <c r="S316" s="20">
        <f t="shared" si="286"/>
        <v>0</v>
      </c>
    </row>
    <row r="317" spans="1:19" s="17" customFormat="1" ht="15" customHeight="1" outlineLevel="1">
      <c r="A317" s="21" t="s">
        <v>21</v>
      </c>
      <c r="B317" s="48" t="s">
        <v>9</v>
      </c>
      <c r="C317" s="48" t="s">
        <v>107</v>
      </c>
      <c r="D317" s="48" t="s">
        <v>12</v>
      </c>
      <c r="E317" s="48" t="s">
        <v>285</v>
      </c>
      <c r="F317" s="48">
        <v>200</v>
      </c>
      <c r="G317" s="46">
        <v>0</v>
      </c>
      <c r="H317" s="46">
        <f>331038+19800000</f>
        <v>20131038</v>
      </c>
      <c r="I317" s="46">
        <f>G317+H317</f>
        <v>20131038</v>
      </c>
      <c r="J317" s="46">
        <v>406247</v>
      </c>
      <c r="K317" s="46">
        <f>I317+J317</f>
        <v>20537285</v>
      </c>
      <c r="L317" s="46">
        <v>0</v>
      </c>
      <c r="M317" s="46">
        <v>0</v>
      </c>
      <c r="N317" s="46">
        <f>L317+M317</f>
        <v>0</v>
      </c>
      <c r="O317" s="46">
        <v>0</v>
      </c>
      <c r="P317" s="46">
        <f>N317+O317</f>
        <v>0</v>
      </c>
      <c r="Q317" s="46">
        <v>0</v>
      </c>
      <c r="R317" s="46">
        <v>0</v>
      </c>
      <c r="S317" s="46">
        <f>Q317+R317</f>
        <v>0</v>
      </c>
    </row>
    <row r="318" spans="1:19" s="17" customFormat="1" ht="15" customHeight="1" outlineLevel="1">
      <c r="A318" s="21" t="s">
        <v>38</v>
      </c>
      <c r="B318" s="48" t="s">
        <v>9</v>
      </c>
      <c r="C318" s="48" t="s">
        <v>107</v>
      </c>
      <c r="D318" s="48" t="s">
        <v>12</v>
      </c>
      <c r="E318" s="48" t="s">
        <v>285</v>
      </c>
      <c r="F318" s="48">
        <v>400</v>
      </c>
      <c r="G318" s="46">
        <v>0</v>
      </c>
      <c r="H318" s="46">
        <f>115789.47+2200000</f>
        <v>2315789.4700000002</v>
      </c>
      <c r="I318" s="46">
        <f>G318+H318</f>
        <v>2315789.4700000002</v>
      </c>
      <c r="J318" s="46">
        <f>-1012000.61-53263.19</f>
        <v>-1065263.8</v>
      </c>
      <c r="K318" s="46">
        <f>I318+J318</f>
        <v>1250525.6700000002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</row>
    <row r="319" spans="1:19" s="17" customFormat="1" ht="40.5" customHeight="1" outlineLevel="1">
      <c r="A319" s="18" t="s">
        <v>248</v>
      </c>
      <c r="B319" s="19" t="s">
        <v>9</v>
      </c>
      <c r="C319" s="19" t="s">
        <v>107</v>
      </c>
      <c r="D319" s="19" t="s">
        <v>12</v>
      </c>
      <c r="E319" s="43" t="s">
        <v>247</v>
      </c>
      <c r="F319" s="19" t="s">
        <v>0</v>
      </c>
      <c r="G319" s="33">
        <f>G320</f>
        <v>0</v>
      </c>
      <c r="H319" s="33">
        <f>H320</f>
        <v>0</v>
      </c>
      <c r="I319" s="33">
        <f t="shared" ref="I319:S319" si="289">I320</f>
        <v>0</v>
      </c>
      <c r="J319" s="33">
        <f>J320</f>
        <v>4500000</v>
      </c>
      <c r="K319" s="33">
        <f t="shared" si="289"/>
        <v>4500000</v>
      </c>
      <c r="L319" s="33">
        <f t="shared" si="289"/>
        <v>0</v>
      </c>
      <c r="M319" s="33">
        <f t="shared" si="289"/>
        <v>0</v>
      </c>
      <c r="N319" s="33">
        <f t="shared" si="289"/>
        <v>0</v>
      </c>
      <c r="O319" s="33">
        <f t="shared" si="289"/>
        <v>0</v>
      </c>
      <c r="P319" s="33">
        <f t="shared" si="289"/>
        <v>0</v>
      </c>
      <c r="Q319" s="33">
        <f t="shared" si="289"/>
        <v>0</v>
      </c>
      <c r="R319" s="33">
        <f t="shared" si="289"/>
        <v>0</v>
      </c>
      <c r="S319" s="33">
        <f t="shared" si="289"/>
        <v>0</v>
      </c>
    </row>
    <row r="320" spans="1:19" s="17" customFormat="1" ht="15" customHeight="1" outlineLevel="1">
      <c r="A320" s="21" t="s">
        <v>21</v>
      </c>
      <c r="B320" s="22" t="s">
        <v>9</v>
      </c>
      <c r="C320" s="48" t="s">
        <v>107</v>
      </c>
      <c r="D320" s="48" t="s">
        <v>12</v>
      </c>
      <c r="E320" s="48" t="s">
        <v>247</v>
      </c>
      <c r="F320" s="22" t="s">
        <v>22</v>
      </c>
      <c r="G320" s="46">
        <v>0</v>
      </c>
      <c r="H320" s="46">
        <v>0</v>
      </c>
      <c r="I320" s="46">
        <f>G320+H320</f>
        <v>0</v>
      </c>
      <c r="J320" s="46">
        <v>4500000</v>
      </c>
      <c r="K320" s="46">
        <f>I320+J320</f>
        <v>4500000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</row>
    <row r="321" spans="1:19" s="17" customFormat="1" ht="38.25" customHeight="1">
      <c r="A321" s="18" t="s">
        <v>231</v>
      </c>
      <c r="B321" s="19" t="s">
        <v>9</v>
      </c>
      <c r="C321" s="19" t="s">
        <v>107</v>
      </c>
      <c r="D321" s="19" t="s">
        <v>12</v>
      </c>
      <c r="E321" s="19" t="s">
        <v>208</v>
      </c>
      <c r="F321" s="19" t="s">
        <v>0</v>
      </c>
      <c r="G321" s="33">
        <f>G322</f>
        <v>1500000</v>
      </c>
      <c r="H321" s="33">
        <f>H322</f>
        <v>0</v>
      </c>
      <c r="I321" s="33">
        <f t="shared" ref="I321:S321" si="290">I322</f>
        <v>1500000</v>
      </c>
      <c r="J321" s="33">
        <f>J322</f>
        <v>255878.8</v>
      </c>
      <c r="K321" s="33">
        <f t="shared" si="290"/>
        <v>1755878.8</v>
      </c>
      <c r="L321" s="33">
        <f t="shared" si="290"/>
        <v>1500000</v>
      </c>
      <c r="M321" s="33">
        <f t="shared" si="290"/>
        <v>0</v>
      </c>
      <c r="N321" s="33">
        <f t="shared" si="290"/>
        <v>1500000</v>
      </c>
      <c r="O321" s="33">
        <f t="shared" si="290"/>
        <v>0</v>
      </c>
      <c r="P321" s="33">
        <f t="shared" si="290"/>
        <v>1500000</v>
      </c>
      <c r="Q321" s="33">
        <f t="shared" si="290"/>
        <v>1500000</v>
      </c>
      <c r="R321" s="33">
        <f t="shared" si="290"/>
        <v>0</v>
      </c>
      <c r="S321" s="33">
        <f t="shared" si="290"/>
        <v>1500000</v>
      </c>
    </row>
    <row r="322" spans="1:19" s="17" customFormat="1">
      <c r="A322" s="21" t="s">
        <v>21</v>
      </c>
      <c r="B322" s="22" t="s">
        <v>9</v>
      </c>
      <c r="C322" s="22" t="s">
        <v>107</v>
      </c>
      <c r="D322" s="22" t="s">
        <v>12</v>
      </c>
      <c r="E322" s="22" t="s">
        <v>208</v>
      </c>
      <c r="F322" s="22" t="s">
        <v>22</v>
      </c>
      <c r="G322" s="46">
        <v>1500000</v>
      </c>
      <c r="H322" s="46">
        <v>0</v>
      </c>
      <c r="I322" s="46">
        <f>G322+H322</f>
        <v>1500000</v>
      </c>
      <c r="J322" s="46">
        <v>255878.8</v>
      </c>
      <c r="K322" s="46">
        <f>I322+J322</f>
        <v>1755878.8</v>
      </c>
      <c r="L322" s="46">
        <v>1500000</v>
      </c>
      <c r="M322" s="46">
        <v>0</v>
      </c>
      <c r="N322" s="46">
        <f>L322+M322</f>
        <v>1500000</v>
      </c>
      <c r="O322" s="46">
        <v>0</v>
      </c>
      <c r="P322" s="46">
        <f>N322+O322</f>
        <v>1500000</v>
      </c>
      <c r="Q322" s="46">
        <v>1500000</v>
      </c>
      <c r="R322" s="46">
        <v>0</v>
      </c>
      <c r="S322" s="46">
        <f>Q322+R322</f>
        <v>1500000</v>
      </c>
    </row>
    <row r="323" spans="1:19" s="17" customFormat="1" ht="13.5">
      <c r="A323" s="18" t="s">
        <v>239</v>
      </c>
      <c r="B323" s="19" t="s">
        <v>9</v>
      </c>
      <c r="C323" s="19" t="s">
        <v>107</v>
      </c>
      <c r="D323" s="19" t="s">
        <v>12</v>
      </c>
      <c r="E323" s="19" t="s">
        <v>238</v>
      </c>
      <c r="F323" s="19" t="s">
        <v>0</v>
      </c>
      <c r="G323" s="33">
        <f t="shared" ref="G323:S323" si="291">G324</f>
        <v>5625000</v>
      </c>
      <c r="H323" s="33">
        <f t="shared" si="291"/>
        <v>0</v>
      </c>
      <c r="I323" s="33">
        <f t="shared" si="291"/>
        <v>5625000</v>
      </c>
      <c r="J323" s="33">
        <f t="shared" si="291"/>
        <v>0</v>
      </c>
      <c r="K323" s="33">
        <f t="shared" si="291"/>
        <v>5625000</v>
      </c>
      <c r="L323" s="33">
        <f t="shared" si="291"/>
        <v>1125000</v>
      </c>
      <c r="M323" s="33">
        <f t="shared" si="291"/>
        <v>0</v>
      </c>
      <c r="N323" s="33">
        <f t="shared" si="291"/>
        <v>1125000</v>
      </c>
      <c r="O323" s="33">
        <f t="shared" si="291"/>
        <v>0</v>
      </c>
      <c r="P323" s="33">
        <f t="shared" si="291"/>
        <v>1125000</v>
      </c>
      <c r="Q323" s="33">
        <f t="shared" si="291"/>
        <v>1125000</v>
      </c>
      <c r="R323" s="33">
        <f t="shared" si="291"/>
        <v>0</v>
      </c>
      <c r="S323" s="33">
        <f t="shared" si="291"/>
        <v>1125000</v>
      </c>
    </row>
    <row r="324" spans="1:19" s="17" customFormat="1">
      <c r="A324" s="21" t="s">
        <v>21</v>
      </c>
      <c r="B324" s="22" t="s">
        <v>9</v>
      </c>
      <c r="C324" s="22" t="s">
        <v>107</v>
      </c>
      <c r="D324" s="22" t="s">
        <v>12</v>
      </c>
      <c r="E324" s="22" t="s">
        <v>238</v>
      </c>
      <c r="F324" s="22" t="s">
        <v>22</v>
      </c>
      <c r="G324" s="46">
        <v>5625000</v>
      </c>
      <c r="H324" s="46">
        <v>0</v>
      </c>
      <c r="I324" s="46">
        <f>G324+H324</f>
        <v>5625000</v>
      </c>
      <c r="J324" s="46">
        <v>0</v>
      </c>
      <c r="K324" s="46">
        <f>I324+J324</f>
        <v>5625000</v>
      </c>
      <c r="L324" s="46">
        <v>1125000</v>
      </c>
      <c r="M324" s="46">
        <v>0</v>
      </c>
      <c r="N324" s="46">
        <f>L324+M324</f>
        <v>1125000</v>
      </c>
      <c r="O324" s="46">
        <v>0</v>
      </c>
      <c r="P324" s="46">
        <f>N324+O324</f>
        <v>1125000</v>
      </c>
      <c r="Q324" s="46">
        <v>1125000</v>
      </c>
      <c r="R324" s="46">
        <v>0</v>
      </c>
      <c r="S324" s="46">
        <f>Q324+R324</f>
        <v>1125000</v>
      </c>
    </row>
    <row r="325" spans="1:19" s="17" customFormat="1" ht="15" customHeight="1">
      <c r="A325" s="18" t="s">
        <v>244</v>
      </c>
      <c r="B325" s="19" t="s">
        <v>9</v>
      </c>
      <c r="C325" s="19" t="s">
        <v>107</v>
      </c>
      <c r="D325" s="19" t="s">
        <v>12</v>
      </c>
      <c r="E325" s="19" t="s">
        <v>243</v>
      </c>
      <c r="F325" s="19" t="s">
        <v>0</v>
      </c>
      <c r="G325" s="33">
        <f t="shared" ref="G325:S325" si="292">G326</f>
        <v>0</v>
      </c>
      <c r="H325" s="33">
        <f t="shared" si="292"/>
        <v>0</v>
      </c>
      <c r="I325" s="33">
        <f t="shared" si="292"/>
        <v>0</v>
      </c>
      <c r="J325" s="33">
        <f t="shared" si="292"/>
        <v>0</v>
      </c>
      <c r="K325" s="33">
        <f t="shared" si="292"/>
        <v>0</v>
      </c>
      <c r="L325" s="33">
        <f t="shared" si="292"/>
        <v>0</v>
      </c>
      <c r="M325" s="33">
        <f t="shared" si="292"/>
        <v>0</v>
      </c>
      <c r="N325" s="33">
        <f t="shared" si="292"/>
        <v>0</v>
      </c>
      <c r="O325" s="33">
        <f t="shared" si="292"/>
        <v>0</v>
      </c>
      <c r="P325" s="33">
        <f t="shared" si="292"/>
        <v>0</v>
      </c>
      <c r="Q325" s="33">
        <f t="shared" si="292"/>
        <v>0</v>
      </c>
      <c r="R325" s="33">
        <f t="shared" si="292"/>
        <v>0</v>
      </c>
      <c r="S325" s="33">
        <f t="shared" si="292"/>
        <v>0</v>
      </c>
    </row>
    <row r="326" spans="1:19" s="17" customFormat="1">
      <c r="A326" s="21" t="s">
        <v>21</v>
      </c>
      <c r="B326" s="22" t="s">
        <v>9</v>
      </c>
      <c r="C326" s="22" t="s">
        <v>107</v>
      </c>
      <c r="D326" s="22" t="s">
        <v>12</v>
      </c>
      <c r="E326" s="22" t="s">
        <v>243</v>
      </c>
      <c r="F326" s="22" t="s">
        <v>22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f>L326+M326</f>
        <v>0</v>
      </c>
      <c r="O326" s="46">
        <v>0</v>
      </c>
      <c r="P326" s="46">
        <f>N326+O326</f>
        <v>0</v>
      </c>
      <c r="Q326" s="46">
        <v>0</v>
      </c>
      <c r="R326" s="46">
        <v>0</v>
      </c>
      <c r="S326" s="46">
        <f>Q326+R326</f>
        <v>0</v>
      </c>
    </row>
    <row r="327" spans="1:19" s="17" customFormat="1">
      <c r="A327" s="14" t="s">
        <v>209</v>
      </c>
      <c r="B327" s="15" t="s">
        <v>9</v>
      </c>
      <c r="C327" s="15" t="s">
        <v>107</v>
      </c>
      <c r="D327" s="15" t="s">
        <v>107</v>
      </c>
      <c r="E327" s="15" t="s">
        <v>0</v>
      </c>
      <c r="F327" s="15" t="s">
        <v>0</v>
      </c>
      <c r="G327" s="52">
        <f t="shared" ref="G327:K329" si="293">G328</f>
        <v>54638550.450000003</v>
      </c>
      <c r="H327" s="52">
        <f t="shared" si="293"/>
        <v>159908.20000000001</v>
      </c>
      <c r="I327" s="52">
        <f t="shared" si="293"/>
        <v>54798458.649999999</v>
      </c>
      <c r="J327" s="52">
        <f t="shared" si="293"/>
        <v>27900</v>
      </c>
      <c r="K327" s="52">
        <f t="shared" si="293"/>
        <v>54826358.649999999</v>
      </c>
      <c r="L327" s="52">
        <f t="shared" ref="L327:S329" si="294">L328</f>
        <v>56277707.299999997</v>
      </c>
      <c r="M327" s="52">
        <f t="shared" si="294"/>
        <v>0</v>
      </c>
      <c r="N327" s="52">
        <f t="shared" si="294"/>
        <v>56277707.299999997</v>
      </c>
      <c r="O327" s="52">
        <f t="shared" si="294"/>
        <v>0</v>
      </c>
      <c r="P327" s="52">
        <f t="shared" si="294"/>
        <v>56277707.299999997</v>
      </c>
      <c r="Q327" s="52">
        <f t="shared" si="294"/>
        <v>57966038.519999996</v>
      </c>
      <c r="R327" s="52">
        <f t="shared" si="294"/>
        <v>0</v>
      </c>
      <c r="S327" s="52">
        <f t="shared" si="294"/>
        <v>57966038.519999996</v>
      </c>
    </row>
    <row r="328" spans="1:19" s="17" customFormat="1">
      <c r="A328" s="14" t="s">
        <v>166</v>
      </c>
      <c r="B328" s="15" t="s">
        <v>9</v>
      </c>
      <c r="C328" s="15" t="s">
        <v>107</v>
      </c>
      <c r="D328" s="15" t="s">
        <v>107</v>
      </c>
      <c r="E328" s="15" t="s">
        <v>167</v>
      </c>
      <c r="F328" s="15" t="s">
        <v>0</v>
      </c>
      <c r="G328" s="52">
        <f t="shared" si="293"/>
        <v>54638550.450000003</v>
      </c>
      <c r="H328" s="52">
        <f t="shared" si="293"/>
        <v>159908.20000000001</v>
      </c>
      <c r="I328" s="52">
        <f t="shared" si="293"/>
        <v>54798458.649999999</v>
      </c>
      <c r="J328" s="52">
        <f t="shared" si="293"/>
        <v>27900</v>
      </c>
      <c r="K328" s="52">
        <f t="shared" si="293"/>
        <v>54826358.649999999</v>
      </c>
      <c r="L328" s="52">
        <f t="shared" si="294"/>
        <v>56277707.299999997</v>
      </c>
      <c r="M328" s="52">
        <f t="shared" si="294"/>
        <v>0</v>
      </c>
      <c r="N328" s="52">
        <f t="shared" si="294"/>
        <v>56277707.299999997</v>
      </c>
      <c r="O328" s="52">
        <f t="shared" si="294"/>
        <v>0</v>
      </c>
      <c r="P328" s="52">
        <f t="shared" si="294"/>
        <v>56277707.299999997</v>
      </c>
      <c r="Q328" s="52">
        <f t="shared" si="294"/>
        <v>57966038.519999996</v>
      </c>
      <c r="R328" s="52">
        <f t="shared" si="294"/>
        <v>0</v>
      </c>
      <c r="S328" s="52">
        <f t="shared" si="294"/>
        <v>57966038.519999996</v>
      </c>
    </row>
    <row r="329" spans="1:19" s="17" customFormat="1">
      <c r="A329" s="14" t="s">
        <v>210</v>
      </c>
      <c r="B329" s="15" t="s">
        <v>9</v>
      </c>
      <c r="C329" s="15" t="s">
        <v>107</v>
      </c>
      <c r="D329" s="15" t="s">
        <v>107</v>
      </c>
      <c r="E329" s="15" t="s">
        <v>211</v>
      </c>
      <c r="F329" s="15" t="s">
        <v>0</v>
      </c>
      <c r="G329" s="52">
        <f t="shared" si="293"/>
        <v>54638550.450000003</v>
      </c>
      <c r="H329" s="52">
        <f t="shared" si="293"/>
        <v>159908.20000000001</v>
      </c>
      <c r="I329" s="52">
        <f t="shared" si="293"/>
        <v>54798458.649999999</v>
      </c>
      <c r="J329" s="52">
        <f t="shared" si="293"/>
        <v>27900</v>
      </c>
      <c r="K329" s="52">
        <f t="shared" si="293"/>
        <v>54826358.649999999</v>
      </c>
      <c r="L329" s="52">
        <f t="shared" si="294"/>
        <v>56277707.299999997</v>
      </c>
      <c r="M329" s="52">
        <f t="shared" si="294"/>
        <v>0</v>
      </c>
      <c r="N329" s="52">
        <f t="shared" si="294"/>
        <v>56277707.299999997</v>
      </c>
      <c r="O329" s="52">
        <f t="shared" si="294"/>
        <v>0</v>
      </c>
      <c r="P329" s="52">
        <f t="shared" si="294"/>
        <v>56277707.299999997</v>
      </c>
      <c r="Q329" s="52">
        <f t="shared" si="294"/>
        <v>57966038.519999996</v>
      </c>
      <c r="R329" s="52">
        <f t="shared" si="294"/>
        <v>0</v>
      </c>
      <c r="S329" s="52">
        <f t="shared" si="294"/>
        <v>57966038.519999996</v>
      </c>
    </row>
    <row r="330" spans="1:19" s="17" customFormat="1" ht="27">
      <c r="A330" s="18" t="s">
        <v>124</v>
      </c>
      <c r="B330" s="19" t="s">
        <v>9</v>
      </c>
      <c r="C330" s="19" t="s">
        <v>107</v>
      </c>
      <c r="D330" s="19" t="s">
        <v>107</v>
      </c>
      <c r="E330" s="19" t="s">
        <v>212</v>
      </c>
      <c r="F330" s="19" t="s">
        <v>0</v>
      </c>
      <c r="G330" s="33">
        <f t="shared" ref="G330:S330" si="295">G331+G333+G332+G334</f>
        <v>54638550.450000003</v>
      </c>
      <c r="H330" s="33">
        <f t="shared" si="295"/>
        <v>159908.20000000001</v>
      </c>
      <c r="I330" s="33">
        <f t="shared" si="295"/>
        <v>54798458.649999999</v>
      </c>
      <c r="J330" s="33">
        <f t="shared" ref="J330:K330" si="296">J331+J333+J332+J334</f>
        <v>27900</v>
      </c>
      <c r="K330" s="33">
        <f t="shared" si="296"/>
        <v>54826358.649999999</v>
      </c>
      <c r="L330" s="33">
        <f t="shared" si="295"/>
        <v>56277707.299999997</v>
      </c>
      <c r="M330" s="33">
        <f t="shared" si="295"/>
        <v>0</v>
      </c>
      <c r="N330" s="33">
        <f t="shared" si="295"/>
        <v>56277707.299999997</v>
      </c>
      <c r="O330" s="33">
        <f t="shared" ref="O330:P330" si="297">O331+O333+O332+O334</f>
        <v>0</v>
      </c>
      <c r="P330" s="33">
        <f t="shared" si="297"/>
        <v>56277707.299999997</v>
      </c>
      <c r="Q330" s="33">
        <f t="shared" si="295"/>
        <v>57966038.519999996</v>
      </c>
      <c r="R330" s="33">
        <f t="shared" si="295"/>
        <v>0</v>
      </c>
      <c r="S330" s="33">
        <f t="shared" si="295"/>
        <v>57966038.519999996</v>
      </c>
    </row>
    <row r="331" spans="1:19" s="17" customFormat="1">
      <c r="A331" s="21" t="s">
        <v>19</v>
      </c>
      <c r="B331" s="22" t="s">
        <v>9</v>
      </c>
      <c r="C331" s="22" t="s">
        <v>107</v>
      </c>
      <c r="D331" s="22" t="s">
        <v>107</v>
      </c>
      <c r="E331" s="22" t="s">
        <v>212</v>
      </c>
      <c r="F331" s="22" t="s">
        <v>20</v>
      </c>
      <c r="G331" s="46">
        <v>49939853</v>
      </c>
      <c r="H331" s="46">
        <v>0</v>
      </c>
      <c r="I331" s="46">
        <f>G331+H331</f>
        <v>49939853</v>
      </c>
      <c r="J331" s="46">
        <v>0</v>
      </c>
      <c r="K331" s="46">
        <f>I331+J331</f>
        <v>49939853</v>
      </c>
      <c r="L331" s="46">
        <v>51435947</v>
      </c>
      <c r="M331" s="46">
        <v>0</v>
      </c>
      <c r="N331" s="46">
        <f>L331+M331</f>
        <v>51435947</v>
      </c>
      <c r="O331" s="46">
        <v>0</v>
      </c>
      <c r="P331" s="46">
        <f>N331+O331</f>
        <v>51435947</v>
      </c>
      <c r="Q331" s="46">
        <v>52979025</v>
      </c>
      <c r="R331" s="46">
        <v>0</v>
      </c>
      <c r="S331" s="46">
        <f>Q331+R331</f>
        <v>52979025</v>
      </c>
    </row>
    <row r="332" spans="1:19" s="17" customFormat="1">
      <c r="A332" s="21" t="s">
        <v>21</v>
      </c>
      <c r="B332" s="22" t="s">
        <v>9</v>
      </c>
      <c r="C332" s="22" t="s">
        <v>107</v>
      </c>
      <c r="D332" s="22" t="s">
        <v>107</v>
      </c>
      <c r="E332" s="22" t="s">
        <v>212</v>
      </c>
      <c r="F332" s="22" t="s">
        <v>22</v>
      </c>
      <c r="G332" s="46">
        <v>4347219.45</v>
      </c>
      <c r="H332" s="46">
        <f>15391.41+23747.74+42237.5+6488+25475+12416.27+5400+45580+5767.89+22984.39</f>
        <v>205488.2</v>
      </c>
      <c r="I332" s="46">
        <f t="shared" ref="I332:I334" si="298">G332+H332</f>
        <v>4552707.6500000004</v>
      </c>
      <c r="J332" s="46">
        <v>27900</v>
      </c>
      <c r="K332" s="46">
        <f t="shared" ref="K332:K334" si="299">I332+J332</f>
        <v>4580607.6500000004</v>
      </c>
      <c r="L332" s="46">
        <v>4408698.3</v>
      </c>
      <c r="M332" s="46">
        <v>0</v>
      </c>
      <c r="N332" s="46">
        <f>L332+M332</f>
        <v>4408698.3</v>
      </c>
      <c r="O332" s="46">
        <v>0</v>
      </c>
      <c r="P332" s="46">
        <f>N332+O332</f>
        <v>4408698.3</v>
      </c>
      <c r="Q332" s="46">
        <v>4540959.5199999996</v>
      </c>
      <c r="R332" s="46">
        <v>0</v>
      </c>
      <c r="S332" s="46">
        <f>Q332+R332</f>
        <v>4540959.5199999996</v>
      </c>
    </row>
    <row r="333" spans="1:19" s="17" customFormat="1" hidden="1" outlineLevel="1">
      <c r="A333" s="21" t="s">
        <v>72</v>
      </c>
      <c r="B333" s="22" t="s">
        <v>9</v>
      </c>
      <c r="C333" s="22" t="s">
        <v>107</v>
      </c>
      <c r="D333" s="22" t="s">
        <v>107</v>
      </c>
      <c r="E333" s="22" t="s">
        <v>212</v>
      </c>
      <c r="F333" s="22" t="s">
        <v>73</v>
      </c>
      <c r="G333" s="46">
        <v>0</v>
      </c>
      <c r="H333" s="46">
        <v>0</v>
      </c>
      <c r="I333" s="46">
        <f t="shared" si="298"/>
        <v>0</v>
      </c>
      <c r="J333" s="46">
        <v>0</v>
      </c>
      <c r="K333" s="46">
        <f t="shared" si="299"/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</row>
    <row r="334" spans="1:19" s="17" customFormat="1" collapsed="1">
      <c r="A334" s="21" t="s">
        <v>40</v>
      </c>
      <c r="B334" s="22" t="s">
        <v>9</v>
      </c>
      <c r="C334" s="22" t="s">
        <v>107</v>
      </c>
      <c r="D334" s="22" t="s">
        <v>107</v>
      </c>
      <c r="E334" s="22" t="s">
        <v>212</v>
      </c>
      <c r="F334" s="22" t="s">
        <v>41</v>
      </c>
      <c r="G334" s="46">
        <v>351478</v>
      </c>
      <c r="H334" s="46">
        <v>-45580</v>
      </c>
      <c r="I334" s="46">
        <f t="shared" si="298"/>
        <v>305898</v>
      </c>
      <c r="J334" s="46">
        <v>0</v>
      </c>
      <c r="K334" s="46">
        <f t="shared" si="299"/>
        <v>305898</v>
      </c>
      <c r="L334" s="46">
        <v>433062</v>
      </c>
      <c r="M334" s="46">
        <v>0</v>
      </c>
      <c r="N334" s="46">
        <f>L334+M334</f>
        <v>433062</v>
      </c>
      <c r="O334" s="46">
        <v>0</v>
      </c>
      <c r="P334" s="46">
        <f>N334+O334</f>
        <v>433062</v>
      </c>
      <c r="Q334" s="46">
        <v>446054</v>
      </c>
      <c r="R334" s="46">
        <v>0</v>
      </c>
      <c r="S334" s="46">
        <f>Q334+R334</f>
        <v>446054</v>
      </c>
    </row>
    <row r="335" spans="1:19" s="17" customFormat="1"/>
  </sheetData>
  <mergeCells count="3">
    <mergeCell ref="A3:Q3"/>
    <mergeCell ref="A2:S2"/>
    <mergeCell ref="A4:S4"/>
  </mergeCells>
  <phoneticPr fontId="16" type="noConversion"/>
  <pageMargins left="0.78740157480314965" right="0" top="0.39370078740157483" bottom="0.39370078740157483" header="0.31496062992125984" footer="0.31496062992125984"/>
  <pageSetup paperSize="9" scale="56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Ведомств.</vt:lpstr>
      <vt:lpstr>Ведомств.!Область_печати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Юрьевна Сиухина</dc:creator>
  <cp:lastModifiedBy>Анна Пальчикова</cp:lastModifiedBy>
  <cp:lastPrinted>2022-03-05T02:16:29Z</cp:lastPrinted>
  <dcterms:created xsi:type="dcterms:W3CDTF">2006-09-16T00:00:00Z</dcterms:created>
  <dcterms:modified xsi:type="dcterms:W3CDTF">2022-06-27T05:37:01Z</dcterms:modified>
</cp:coreProperties>
</file>