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Ведомств." sheetId="2" r:id="rId1"/>
  </sheets>
  <definedNames>
    <definedName name="_xlnm._FilterDatabase" localSheetId="0" hidden="1">Ведомств.!$F$1:$F$311</definedName>
    <definedName name="_xlnm.Print_Area" localSheetId="0">Ведомств.!$A$1:$O$309</definedName>
  </definedNames>
  <calcPr calcId="145621"/>
</workbook>
</file>

<file path=xl/calcChain.xml><?xml version="1.0" encoding="utf-8"?>
<calcChain xmlns="http://schemas.openxmlformats.org/spreadsheetml/2006/main">
  <c r="H243" i="2" l="1"/>
  <c r="H268" i="2" l="1"/>
  <c r="H265" i="2"/>
  <c r="H264" i="2" s="1"/>
  <c r="I269" i="2"/>
  <c r="J30" i="2"/>
  <c r="K30" i="2"/>
  <c r="L30" i="2"/>
  <c r="M30" i="2"/>
  <c r="N30" i="2"/>
  <c r="O30" i="2"/>
  <c r="J31" i="2"/>
  <c r="K31" i="2"/>
  <c r="L31" i="2"/>
  <c r="M31" i="2"/>
  <c r="N31" i="2"/>
  <c r="O31" i="2"/>
  <c r="O36" i="2"/>
  <c r="O35" i="2"/>
  <c r="O34" i="2"/>
  <c r="O33" i="2"/>
  <c r="O32" i="2" s="1"/>
  <c r="L36" i="2"/>
  <c r="L35" i="2"/>
  <c r="L34" i="2"/>
  <c r="L33" i="2"/>
  <c r="L32" i="2" s="1"/>
  <c r="J32" i="2"/>
  <c r="K32" i="2"/>
  <c r="M32" i="2"/>
  <c r="N32" i="2"/>
  <c r="I33" i="2"/>
  <c r="I35" i="2"/>
  <c r="I36" i="2"/>
  <c r="I299" i="2"/>
  <c r="O295" i="2"/>
  <c r="O294" i="2" s="1"/>
  <c r="L295" i="2"/>
  <c r="J294" i="2"/>
  <c r="K294" i="2"/>
  <c r="L294" i="2"/>
  <c r="M294" i="2"/>
  <c r="N294" i="2"/>
  <c r="J271" i="2"/>
  <c r="K271" i="2"/>
  <c r="L271" i="2"/>
  <c r="M271" i="2"/>
  <c r="N271" i="2"/>
  <c r="O271" i="2"/>
  <c r="J272" i="2"/>
  <c r="K272" i="2"/>
  <c r="L272" i="2"/>
  <c r="M272" i="2"/>
  <c r="N272" i="2"/>
  <c r="O272" i="2"/>
  <c r="J231" i="2"/>
  <c r="K231" i="2"/>
  <c r="L231" i="2"/>
  <c r="M231" i="2"/>
  <c r="N231" i="2"/>
  <c r="O231" i="2"/>
  <c r="J232" i="2"/>
  <c r="K232" i="2"/>
  <c r="L232" i="2"/>
  <c r="M232" i="2"/>
  <c r="N232" i="2"/>
  <c r="O232" i="2"/>
  <c r="J233" i="2"/>
  <c r="K233" i="2"/>
  <c r="L233" i="2"/>
  <c r="M233" i="2"/>
  <c r="N233" i="2"/>
  <c r="O233" i="2"/>
  <c r="O234" i="2"/>
  <c r="L234" i="2"/>
  <c r="O173" i="2"/>
  <c r="O172" i="2" s="1"/>
  <c r="L173" i="2"/>
  <c r="L172" i="2" s="1"/>
  <c r="J172" i="2"/>
  <c r="K172" i="2"/>
  <c r="M172" i="2"/>
  <c r="N172" i="2"/>
  <c r="O163" i="2"/>
  <c r="O162" i="2"/>
  <c r="L163" i="2"/>
  <c r="L162" i="2"/>
  <c r="L161" i="2" s="1"/>
  <c r="J161" i="2"/>
  <c r="K161" i="2"/>
  <c r="M161" i="2"/>
  <c r="N161" i="2"/>
  <c r="O161" i="2"/>
  <c r="I111" i="2"/>
  <c r="J111" i="2"/>
  <c r="K111" i="2"/>
  <c r="L111" i="2"/>
  <c r="M111" i="2"/>
  <c r="N111" i="2"/>
  <c r="O111" i="2"/>
  <c r="O103" i="2"/>
  <c r="O102" i="2"/>
  <c r="O101" i="2" s="1"/>
  <c r="O100" i="2" s="1"/>
  <c r="O99" i="2" s="1"/>
  <c r="O98" i="2" s="1"/>
  <c r="L103" i="2"/>
  <c r="L102" i="2"/>
  <c r="K97" i="2"/>
  <c r="N97" i="2"/>
  <c r="J98" i="2"/>
  <c r="K98" i="2"/>
  <c r="M98" i="2"/>
  <c r="N98" i="2"/>
  <c r="J99" i="2"/>
  <c r="K99" i="2"/>
  <c r="M99" i="2"/>
  <c r="N99" i="2"/>
  <c r="J100" i="2"/>
  <c r="K100" i="2"/>
  <c r="L100" i="2"/>
  <c r="L99" i="2" s="1"/>
  <c r="L98" i="2" s="1"/>
  <c r="M100" i="2"/>
  <c r="N100" i="2"/>
  <c r="J101" i="2"/>
  <c r="K101" i="2"/>
  <c r="L101" i="2"/>
  <c r="M101" i="2"/>
  <c r="N101" i="2"/>
  <c r="I103" i="2"/>
  <c r="O94" i="2"/>
  <c r="O93" i="2"/>
  <c r="L94" i="2"/>
  <c r="L93" i="2"/>
  <c r="I94" i="2"/>
  <c r="I93" i="2"/>
  <c r="O89" i="2"/>
  <c r="O88" i="2"/>
  <c r="L89" i="2"/>
  <c r="L88" i="2"/>
  <c r="I89" i="2"/>
  <c r="I90" i="2"/>
  <c r="J81" i="2"/>
  <c r="J76" i="2" s="1"/>
  <c r="K81" i="2"/>
  <c r="L81" i="2"/>
  <c r="M81" i="2"/>
  <c r="N81" i="2"/>
  <c r="O81" i="2"/>
  <c r="I82" i="2"/>
  <c r="J82" i="2"/>
  <c r="K82" i="2"/>
  <c r="L82" i="2"/>
  <c r="M82" i="2"/>
  <c r="N82" i="2"/>
  <c r="O82" i="2"/>
  <c r="O84" i="2"/>
  <c r="O83" i="2"/>
  <c r="L84" i="2"/>
  <c r="L83" i="2"/>
  <c r="I84" i="2"/>
  <c r="I83" i="2"/>
  <c r="O80" i="2"/>
  <c r="O78" i="2" s="1"/>
  <c r="O77" i="2" s="1"/>
  <c r="O79" i="2"/>
  <c r="L80" i="2"/>
  <c r="L79" i="2"/>
  <c r="I80" i="2"/>
  <c r="I79" i="2"/>
  <c r="I78" i="2" s="1"/>
  <c r="I77" i="2" s="1"/>
  <c r="H76" i="2"/>
  <c r="M76" i="2"/>
  <c r="G76" i="2"/>
  <c r="G78" i="2"/>
  <c r="J78" i="2"/>
  <c r="J77" i="2" s="1"/>
  <c r="K78" i="2"/>
  <c r="L78" i="2"/>
  <c r="L77" i="2" s="1"/>
  <c r="M78" i="2"/>
  <c r="M77" i="2" s="1"/>
  <c r="N78" i="2"/>
  <c r="N77" i="2" s="1"/>
  <c r="K77" i="2"/>
  <c r="H77" i="2"/>
  <c r="H78" i="2"/>
  <c r="O138" i="2"/>
  <c r="L138" i="2"/>
  <c r="I138" i="2"/>
  <c r="J137" i="2"/>
  <c r="K137" i="2"/>
  <c r="L137" i="2"/>
  <c r="M137" i="2"/>
  <c r="N137" i="2"/>
  <c r="O137" i="2"/>
  <c r="O127" i="2"/>
  <c r="O126" i="2"/>
  <c r="O125" i="2"/>
  <c r="O124" i="2" s="1"/>
  <c r="L127" i="2"/>
  <c r="L126" i="2"/>
  <c r="L125" i="2"/>
  <c r="K123" i="2"/>
  <c r="N123" i="2"/>
  <c r="J124" i="2"/>
  <c r="K124" i="2"/>
  <c r="L124" i="2"/>
  <c r="M124" i="2"/>
  <c r="N124" i="2"/>
  <c r="I127" i="2"/>
  <c r="I125" i="2"/>
  <c r="O293" i="2"/>
  <c r="O292" i="2"/>
  <c r="O291" i="2"/>
  <c r="L293" i="2"/>
  <c r="L292" i="2"/>
  <c r="L291" i="2"/>
  <c r="J290" i="2"/>
  <c r="K290" i="2"/>
  <c r="M290" i="2"/>
  <c r="N290" i="2"/>
  <c r="I292" i="2"/>
  <c r="I293" i="2"/>
  <c r="O275" i="2"/>
  <c r="O274" i="2"/>
  <c r="O273" i="2"/>
  <c r="L275" i="2"/>
  <c r="L274" i="2"/>
  <c r="L273" i="2"/>
  <c r="I274" i="2"/>
  <c r="I275" i="2"/>
  <c r="I265" i="2"/>
  <c r="J265" i="2"/>
  <c r="K265" i="2"/>
  <c r="L265" i="2"/>
  <c r="M265" i="2"/>
  <c r="N265" i="2"/>
  <c r="O265" i="2"/>
  <c r="O258" i="2"/>
  <c r="O257" i="2"/>
  <c r="L258" i="2"/>
  <c r="L257" i="2"/>
  <c r="L256" i="2" s="1"/>
  <c r="L255" i="2" s="1"/>
  <c r="J256" i="2"/>
  <c r="J255" i="2" s="1"/>
  <c r="K256" i="2"/>
  <c r="K255" i="2" s="1"/>
  <c r="M256" i="2"/>
  <c r="M255" i="2" s="1"/>
  <c r="N256" i="2"/>
  <c r="N255" i="2" s="1"/>
  <c r="O251" i="2"/>
  <c r="O250" i="2"/>
  <c r="L251" i="2"/>
  <c r="L250" i="2"/>
  <c r="O254" i="2"/>
  <c r="O253" i="2"/>
  <c r="L254" i="2"/>
  <c r="L253" i="2"/>
  <c r="H252" i="2"/>
  <c r="J252" i="2"/>
  <c r="K252" i="2"/>
  <c r="M252" i="2"/>
  <c r="N252" i="2"/>
  <c r="J249" i="2"/>
  <c r="K249" i="2"/>
  <c r="M249" i="2"/>
  <c r="N249" i="2"/>
  <c r="I251" i="2"/>
  <c r="I253" i="2"/>
  <c r="I254" i="2"/>
  <c r="O245" i="2"/>
  <c r="L245" i="2"/>
  <c r="I245" i="2"/>
  <c r="O243" i="2"/>
  <c r="O242" i="2"/>
  <c r="L243" i="2"/>
  <c r="L242" i="2"/>
  <c r="J241" i="2"/>
  <c r="K241" i="2"/>
  <c r="M241" i="2"/>
  <c r="N241" i="2"/>
  <c r="I243" i="2"/>
  <c r="I242" i="2"/>
  <c r="O256" i="2" l="1"/>
  <c r="O255" i="2" s="1"/>
  <c r="L241" i="2"/>
  <c r="O241" i="2"/>
  <c r="O249" i="2"/>
  <c r="L252" i="2"/>
  <c r="L249" i="2"/>
  <c r="I252" i="2"/>
  <c r="O252" i="2"/>
  <c r="O290" i="2"/>
  <c r="L290" i="2"/>
  <c r="H250" i="2"/>
  <c r="H101" i="2" l="1"/>
  <c r="G101" i="2"/>
  <c r="I112" i="2" l="1"/>
  <c r="H111" i="2"/>
  <c r="H110" i="2" s="1"/>
  <c r="H109" i="2" s="1"/>
  <c r="H104" i="2" s="1"/>
  <c r="H258" i="2"/>
  <c r="H291" i="2"/>
  <c r="H290" i="2" s="1"/>
  <c r="N91" i="2"/>
  <c r="K91" i="2"/>
  <c r="H79" i="2"/>
  <c r="H88" i="2"/>
  <c r="I163" i="2"/>
  <c r="I126" i="2" l="1"/>
  <c r="H87" i="2"/>
  <c r="H91" i="2"/>
  <c r="H100" i="2"/>
  <c r="H99" i="2" s="1"/>
  <c r="H98" i="2" s="1"/>
  <c r="H97" i="2" s="1"/>
  <c r="H86" i="2" l="1"/>
  <c r="N6" i="2"/>
  <c r="K6" i="2"/>
  <c r="N79" i="2"/>
  <c r="K79" i="2"/>
  <c r="O76" i="2"/>
  <c r="N76" i="2"/>
  <c r="L76" i="2"/>
  <c r="K76" i="2"/>
  <c r="I81" i="2"/>
  <c r="I76" i="2" s="1"/>
  <c r="H82" i="2"/>
  <c r="H81" i="2" s="1"/>
  <c r="G82" i="2"/>
  <c r="N88" i="2"/>
  <c r="N87" i="2" s="1"/>
  <c r="N86" i="2" s="1"/>
  <c r="N85" i="2" s="1"/>
  <c r="K88" i="2"/>
  <c r="K87" i="2" s="1"/>
  <c r="K86" i="2" s="1"/>
  <c r="K85" i="2" s="1"/>
  <c r="N17" i="2" l="1"/>
  <c r="N5" i="2" s="1"/>
  <c r="K71" i="2"/>
  <c r="L87" i="2"/>
  <c r="L305" i="2"/>
  <c r="L304" i="2" s="1"/>
  <c r="L303" i="2" s="1"/>
  <c r="L302" i="2" s="1"/>
  <c r="L300" i="2"/>
  <c r="L298" i="2"/>
  <c r="L296" i="2"/>
  <c r="L288" i="2"/>
  <c r="L286" i="2"/>
  <c r="L284" i="2"/>
  <c r="L283" i="2"/>
  <c r="L282" i="2" s="1"/>
  <c r="L279" i="2"/>
  <c r="L278" i="2" s="1"/>
  <c r="L268" i="2"/>
  <c r="L260" i="2"/>
  <c r="L259" i="2" s="1"/>
  <c r="L247" i="2"/>
  <c r="L244" i="2"/>
  <c r="L236" i="2"/>
  <c r="L229" i="2"/>
  <c r="L228" i="2" s="1"/>
  <c r="L227" i="2" s="1"/>
  <c r="L224" i="2"/>
  <c r="L223" i="2" s="1"/>
  <c r="L221" i="2"/>
  <c r="L220" i="2" s="1"/>
  <c r="L215" i="2"/>
  <c r="L214" i="2" s="1"/>
  <c r="L213" i="2" s="1"/>
  <c r="L212" i="2" s="1"/>
  <c r="L211" i="2" s="1"/>
  <c r="L208" i="2"/>
  <c r="L207" i="2"/>
  <c r="L200" i="2"/>
  <c r="L199" i="2"/>
  <c r="L198" i="2" s="1"/>
  <c r="L197" i="2" s="1"/>
  <c r="L196" i="2" s="1"/>
  <c r="L195" i="2" s="1"/>
  <c r="L194" i="2"/>
  <c r="L193" i="2" s="1"/>
  <c r="L192" i="2" s="1"/>
  <c r="L191" i="2" s="1"/>
  <c r="L190" i="2" s="1"/>
  <c r="L189" i="2" s="1"/>
  <c r="L187" i="2"/>
  <c r="L186" i="2" s="1"/>
  <c r="L185" i="2" s="1"/>
  <c r="L184" i="2" s="1"/>
  <c r="L183" i="2"/>
  <c r="L181" i="2" s="1"/>
  <c r="L179" i="2"/>
  <c r="L178" i="2"/>
  <c r="L175" i="2"/>
  <c r="L170" i="2"/>
  <c r="L166" i="2"/>
  <c r="L164" i="2"/>
  <c r="L158" i="2"/>
  <c r="L153" i="2"/>
  <c r="L152" i="2" s="1"/>
  <c r="L151" i="2" s="1"/>
  <c r="L150" i="2" s="1"/>
  <c r="L147" i="2"/>
  <c r="L146" i="2" s="1"/>
  <c r="L145" i="2" s="1"/>
  <c r="L144" i="2" s="1"/>
  <c r="L142" i="2"/>
  <c r="L141" i="2" s="1"/>
  <c r="L140" i="2" s="1"/>
  <c r="L139" i="2" s="1"/>
  <c r="L135" i="2"/>
  <c r="L134" i="2" s="1"/>
  <c r="L133" i="2" s="1"/>
  <c r="L132" i="2" s="1"/>
  <c r="L128" i="2"/>
  <c r="L123" i="2" s="1"/>
  <c r="L118" i="2"/>
  <c r="L115" i="2"/>
  <c r="L110" i="2"/>
  <c r="L109" i="2" s="1"/>
  <c r="L107" i="2"/>
  <c r="L106" i="2" s="1"/>
  <c r="L105" i="2" s="1"/>
  <c r="L95" i="2"/>
  <c r="L91" i="2"/>
  <c r="L75" i="2"/>
  <c r="L74" i="2" s="1"/>
  <c r="L73" i="2" s="1"/>
  <c r="L72" i="2" s="1"/>
  <c r="L68" i="2"/>
  <c r="L67" i="2" s="1"/>
  <c r="L65" i="2"/>
  <c r="L64" i="2"/>
  <c r="L62" i="2"/>
  <c r="L61" i="2" s="1"/>
  <c r="L57" i="2"/>
  <c r="L56" i="2" s="1"/>
  <c r="L54" i="2"/>
  <c r="L53" i="2" s="1"/>
  <c r="L51" i="2"/>
  <c r="L49" i="2"/>
  <c r="L47" i="2"/>
  <c r="L42" i="2"/>
  <c r="L40" i="2"/>
  <c r="L28" i="2"/>
  <c r="L27" i="2" s="1"/>
  <c r="L26" i="2" s="1"/>
  <c r="L25" i="2" s="1"/>
  <c r="L23" i="2"/>
  <c r="L22" i="2" s="1"/>
  <c r="L21" i="2" s="1"/>
  <c r="L20" i="2" s="1"/>
  <c r="L19" i="2" s="1"/>
  <c r="L14" i="2"/>
  <c r="L13" i="2"/>
  <c r="L12" i="2"/>
  <c r="O305" i="2"/>
  <c r="O304" i="2" s="1"/>
  <c r="O303" i="2" s="1"/>
  <c r="O302" i="2" s="1"/>
  <c r="O300" i="2"/>
  <c r="O298" i="2"/>
  <c r="O296" i="2"/>
  <c r="O288" i="2"/>
  <c r="O286" i="2"/>
  <c r="O284" i="2"/>
  <c r="O283" i="2"/>
  <c r="O282" i="2" s="1"/>
  <c r="O279" i="2"/>
  <c r="O278" i="2" s="1"/>
  <c r="O268" i="2"/>
  <c r="O260" i="2"/>
  <c r="O259" i="2" s="1"/>
  <c r="O247" i="2"/>
  <c r="O244" i="2"/>
  <c r="O236" i="2"/>
  <c r="O229" i="2"/>
  <c r="O228" i="2" s="1"/>
  <c r="O227" i="2" s="1"/>
  <c r="O224" i="2"/>
  <c r="O223" i="2" s="1"/>
  <c r="O221" i="2"/>
  <c r="O220" i="2" s="1"/>
  <c r="O215" i="2"/>
  <c r="O214" i="2" s="1"/>
  <c r="O213" i="2" s="1"/>
  <c r="O212" i="2" s="1"/>
  <c r="O211" i="2" s="1"/>
  <c r="O208" i="2"/>
  <c r="O207" i="2"/>
  <c r="O200" i="2"/>
  <c r="O199" i="2" s="1"/>
  <c r="O198" i="2" s="1"/>
  <c r="O197" i="2" s="1"/>
  <c r="O196" i="2" s="1"/>
  <c r="O195" i="2" s="1"/>
  <c r="O194" i="2"/>
  <c r="O193" i="2" s="1"/>
  <c r="O192" i="2" s="1"/>
  <c r="O191" i="2" s="1"/>
  <c r="O190" i="2" s="1"/>
  <c r="O189" i="2" s="1"/>
  <c r="O187" i="2"/>
  <c r="O186" i="2" s="1"/>
  <c r="O185" i="2" s="1"/>
  <c r="O184" i="2" s="1"/>
  <c r="O183" i="2"/>
  <c r="O181" i="2" s="1"/>
  <c r="O179" i="2"/>
  <c r="O178" i="2" s="1"/>
  <c r="O175" i="2"/>
  <c r="O170" i="2"/>
  <c r="O166" i="2"/>
  <c r="O164" i="2"/>
  <c r="O158" i="2"/>
  <c r="O153" i="2"/>
  <c r="O152" i="2" s="1"/>
  <c r="O151" i="2" s="1"/>
  <c r="O150" i="2" s="1"/>
  <c r="O147" i="2"/>
  <c r="O146" i="2" s="1"/>
  <c r="O145" i="2" s="1"/>
  <c r="O144" i="2" s="1"/>
  <c r="O142" i="2"/>
  <c r="O141" i="2" s="1"/>
  <c r="O140" i="2" s="1"/>
  <c r="O139" i="2" s="1"/>
  <c r="O135" i="2"/>
  <c r="O134" i="2" s="1"/>
  <c r="O133" i="2" s="1"/>
  <c r="O132" i="2" s="1"/>
  <c r="O128" i="2"/>
  <c r="O123" i="2" s="1"/>
  <c r="O118" i="2"/>
  <c r="O115" i="2"/>
  <c r="O110" i="2"/>
  <c r="O109" i="2" s="1"/>
  <c r="O107" i="2"/>
  <c r="O106" i="2" s="1"/>
  <c r="O105" i="2" s="1"/>
  <c r="O95" i="2"/>
  <c r="O91" i="2"/>
  <c r="O87" i="2"/>
  <c r="O75" i="2"/>
  <c r="O74" i="2" s="1"/>
  <c r="O73" i="2" s="1"/>
  <c r="O72" i="2" s="1"/>
  <c r="O69" i="2"/>
  <c r="O68" i="2" s="1"/>
  <c r="O67" i="2" s="1"/>
  <c r="O65" i="2"/>
  <c r="O64" i="2"/>
  <c r="O62" i="2"/>
  <c r="O61" i="2" s="1"/>
  <c r="O57" i="2"/>
  <c r="O56" i="2" s="1"/>
  <c r="O54" i="2"/>
  <c r="O53" i="2" s="1"/>
  <c r="O51" i="2"/>
  <c r="O49" i="2"/>
  <c r="O47" i="2"/>
  <c r="O42" i="2"/>
  <c r="O40" i="2"/>
  <c r="O28" i="2"/>
  <c r="O27" i="2" s="1"/>
  <c r="O26" i="2" s="1"/>
  <c r="O25" i="2" s="1"/>
  <c r="O23" i="2"/>
  <c r="O22" i="2" s="1"/>
  <c r="O21" i="2" s="1"/>
  <c r="O20" i="2" s="1"/>
  <c r="O19" i="2" s="1"/>
  <c r="O14" i="2"/>
  <c r="O13" i="2"/>
  <c r="O12" i="2"/>
  <c r="O11" i="2" s="1"/>
  <c r="M305" i="2"/>
  <c r="M304" i="2" s="1"/>
  <c r="M303" i="2" s="1"/>
  <c r="M302" i="2" s="1"/>
  <c r="M300" i="2"/>
  <c r="M298" i="2"/>
  <c r="M296" i="2"/>
  <c r="M291" i="2"/>
  <c r="M288" i="2"/>
  <c r="M286" i="2"/>
  <c r="M284" i="2"/>
  <c r="M283" i="2"/>
  <c r="M282" i="2" s="1"/>
  <c r="M279" i="2"/>
  <c r="M278" i="2" s="1"/>
  <c r="M268" i="2"/>
  <c r="M260" i="2"/>
  <c r="M259" i="2" s="1"/>
  <c r="M247" i="2"/>
  <c r="M244" i="2"/>
  <c r="M236" i="2"/>
  <c r="M234" i="2"/>
  <c r="M229" i="2"/>
  <c r="M228" i="2" s="1"/>
  <c r="M227" i="2" s="1"/>
  <c r="M224" i="2"/>
  <c r="M223" i="2" s="1"/>
  <c r="M221" i="2"/>
  <c r="M220" i="2" s="1"/>
  <c r="M215" i="2"/>
  <c r="M214" i="2" s="1"/>
  <c r="M213" i="2" s="1"/>
  <c r="M212" i="2" s="1"/>
  <c r="M211" i="2" s="1"/>
  <c r="M208" i="2"/>
  <c r="M207" i="2"/>
  <c r="M200" i="2"/>
  <c r="M199" i="2"/>
  <c r="M198" i="2" s="1"/>
  <c r="M197" i="2" s="1"/>
  <c r="M196" i="2" s="1"/>
  <c r="M195" i="2" s="1"/>
  <c r="M194" i="2"/>
  <c r="M193" i="2" s="1"/>
  <c r="M192" i="2" s="1"/>
  <c r="M191" i="2" s="1"/>
  <c r="M190" i="2" s="1"/>
  <c r="M189" i="2" s="1"/>
  <c r="M187" i="2"/>
  <c r="M186" i="2" s="1"/>
  <c r="M185" i="2" s="1"/>
  <c r="M184" i="2" s="1"/>
  <c r="M183" i="2"/>
  <c r="M181" i="2"/>
  <c r="M179" i="2"/>
  <c r="M178" i="2" s="1"/>
  <c r="M175" i="2"/>
  <c r="M170" i="2"/>
  <c r="M166" i="2"/>
  <c r="M164" i="2"/>
  <c r="M158" i="2"/>
  <c r="M153" i="2"/>
  <c r="M152" i="2" s="1"/>
  <c r="M151" i="2" s="1"/>
  <c r="M150" i="2" s="1"/>
  <c r="M147" i="2"/>
  <c r="M146" i="2" s="1"/>
  <c r="M145" i="2" s="1"/>
  <c r="M144" i="2" s="1"/>
  <c r="M142" i="2"/>
  <c r="M141" i="2" s="1"/>
  <c r="M140" i="2" s="1"/>
  <c r="M139" i="2" s="1"/>
  <c r="M135" i="2"/>
  <c r="M134" i="2" s="1"/>
  <c r="M133" i="2" s="1"/>
  <c r="M132" i="2" s="1"/>
  <c r="M128" i="2"/>
  <c r="M123" i="2" s="1"/>
  <c r="M118" i="2"/>
  <c r="M115" i="2"/>
  <c r="M110" i="2"/>
  <c r="M109" i="2" s="1"/>
  <c r="M107" i="2"/>
  <c r="M106" i="2" s="1"/>
  <c r="M105" i="2" s="1"/>
  <c r="M95" i="2"/>
  <c r="M91" i="2"/>
  <c r="M88" i="2"/>
  <c r="M87" i="2" s="1"/>
  <c r="M75" i="2"/>
  <c r="M74" i="2" s="1"/>
  <c r="M73" i="2" s="1"/>
  <c r="M72" i="2" s="1"/>
  <c r="M69" i="2"/>
  <c r="M68" i="2" s="1"/>
  <c r="M67" i="2" s="1"/>
  <c r="M65" i="2"/>
  <c r="M64" i="2"/>
  <c r="M62" i="2"/>
  <c r="M61" i="2" s="1"/>
  <c r="M57" i="2"/>
  <c r="M56" i="2" s="1"/>
  <c r="M54" i="2"/>
  <c r="M53" i="2" s="1"/>
  <c r="M51" i="2"/>
  <c r="M49" i="2"/>
  <c r="M47" i="2"/>
  <c r="M42" i="2"/>
  <c r="M40" i="2"/>
  <c r="M33" i="2"/>
  <c r="M28" i="2"/>
  <c r="M27" i="2" s="1"/>
  <c r="M26" i="2" s="1"/>
  <c r="M25" i="2" s="1"/>
  <c r="M23" i="2"/>
  <c r="M22" i="2" s="1"/>
  <c r="M21" i="2" s="1"/>
  <c r="M20" i="2" s="1"/>
  <c r="M19" i="2" s="1"/>
  <c r="M14" i="2"/>
  <c r="M13" i="2"/>
  <c r="M12" i="2"/>
  <c r="N71" i="2" l="1"/>
  <c r="K17" i="2"/>
  <c r="K5" i="2" s="1"/>
  <c r="O39" i="2"/>
  <c r="O38" i="2" s="1"/>
  <c r="O37" i="2" s="1"/>
  <c r="L63" i="2"/>
  <c r="L60" i="2" s="1"/>
  <c r="L59" i="2" s="1"/>
  <c r="L114" i="2"/>
  <c r="L113" i="2" s="1"/>
  <c r="L104" i="2" s="1"/>
  <c r="L97" i="2" s="1"/>
  <c r="O226" i="2"/>
  <c r="O246" i="2"/>
  <c r="O240" i="2" s="1"/>
  <c r="O239" i="2" s="1"/>
  <c r="L122" i="2"/>
  <c r="L121" i="2" s="1"/>
  <c r="L120" i="2" s="1"/>
  <c r="L174" i="2"/>
  <c r="L169" i="2" s="1"/>
  <c r="L168" i="2" s="1"/>
  <c r="M226" i="2"/>
  <c r="M281" i="2"/>
  <c r="M277" i="2" s="1"/>
  <c r="M276" i="2" s="1"/>
  <c r="L226" i="2"/>
  <c r="L206" i="2"/>
  <c r="L205" i="2" s="1"/>
  <c r="L204" i="2" s="1"/>
  <c r="L203" i="2" s="1"/>
  <c r="L202" i="2" s="1"/>
  <c r="L201" i="2" s="1"/>
  <c r="M24" i="2"/>
  <c r="L24" i="2"/>
  <c r="O63" i="2"/>
  <c r="O60" i="2" s="1"/>
  <c r="O59" i="2" s="1"/>
  <c r="O219" i="2"/>
  <c r="O218" i="2" s="1"/>
  <c r="O264" i="2"/>
  <c r="O263" i="2" s="1"/>
  <c r="O262" i="2" s="1"/>
  <c r="M63" i="2"/>
  <c r="M60" i="2" s="1"/>
  <c r="M59" i="2" s="1"/>
  <c r="M122" i="2"/>
  <c r="M121" i="2" s="1"/>
  <c r="M120" i="2" s="1"/>
  <c r="O46" i="2"/>
  <c r="O45" i="2" s="1"/>
  <c r="O122" i="2"/>
  <c r="O121" i="2" s="1"/>
  <c r="O120" i="2" s="1"/>
  <c r="O206" i="2"/>
  <c r="O205" i="2" s="1"/>
  <c r="O204" i="2" s="1"/>
  <c r="O203" i="2" s="1"/>
  <c r="O202" i="2" s="1"/>
  <c r="O201" i="2" s="1"/>
  <c r="L39" i="2"/>
  <c r="L38" i="2" s="1"/>
  <c r="L37" i="2" s="1"/>
  <c r="L46" i="2"/>
  <c r="L45" i="2" s="1"/>
  <c r="L219" i="2"/>
  <c r="L218" i="2" s="1"/>
  <c r="L281" i="2"/>
  <c r="L277" i="2" s="1"/>
  <c r="L276" i="2" s="1"/>
  <c r="M11" i="2"/>
  <c r="M10" i="2" s="1"/>
  <c r="M9" i="2" s="1"/>
  <c r="M8" i="2" s="1"/>
  <c r="M7" i="2" s="1"/>
  <c r="M6" i="2" s="1"/>
  <c r="O281" i="2"/>
  <c r="O277" i="2" s="1"/>
  <c r="O276" i="2" s="1"/>
  <c r="M174" i="2"/>
  <c r="M169" i="2" s="1"/>
  <c r="M168" i="2" s="1"/>
  <c r="O10" i="2"/>
  <c r="O9" i="2" s="1"/>
  <c r="O8" i="2" s="1"/>
  <c r="O7" i="2" s="1"/>
  <c r="O6" i="2" s="1"/>
  <c r="O174" i="2"/>
  <c r="O169" i="2" s="1"/>
  <c r="O168" i="2" s="1"/>
  <c r="L157" i="2"/>
  <c r="L156" i="2" s="1"/>
  <c r="L155" i="2" s="1"/>
  <c r="L86" i="2"/>
  <c r="L85" i="2" s="1"/>
  <c r="L71" i="2" s="1"/>
  <c r="L70" i="2" s="1"/>
  <c r="M39" i="2"/>
  <c r="M38" i="2" s="1"/>
  <c r="M37" i="2" s="1"/>
  <c r="M114" i="2"/>
  <c r="M113" i="2" s="1"/>
  <c r="M104" i="2" s="1"/>
  <c r="M97" i="2" s="1"/>
  <c r="O114" i="2"/>
  <c r="O113" i="2" s="1"/>
  <c r="O104" i="2" s="1"/>
  <c r="O97" i="2" s="1"/>
  <c r="O157" i="2"/>
  <c r="O156" i="2" s="1"/>
  <c r="O155" i="2" s="1"/>
  <c r="L11" i="2"/>
  <c r="L10" i="2" s="1"/>
  <c r="L9" i="2" s="1"/>
  <c r="L8" i="2" s="1"/>
  <c r="L7" i="2" s="1"/>
  <c r="L6" i="2" s="1"/>
  <c r="L246" i="2"/>
  <c r="L240" i="2" s="1"/>
  <c r="L239" i="2" s="1"/>
  <c r="L264" i="2"/>
  <c r="L263" i="2" s="1"/>
  <c r="L262" i="2" s="1"/>
  <c r="O86" i="2"/>
  <c r="O85" i="2" s="1"/>
  <c r="O24" i="2"/>
  <c r="M219" i="2"/>
  <c r="M218" i="2" s="1"/>
  <c r="M86" i="2"/>
  <c r="M85" i="2" s="1"/>
  <c r="M71" i="2" s="1"/>
  <c r="M46" i="2"/>
  <c r="M45" i="2" s="1"/>
  <c r="M157" i="2"/>
  <c r="M156" i="2" s="1"/>
  <c r="M155" i="2" s="1"/>
  <c r="M206" i="2"/>
  <c r="M205" i="2" s="1"/>
  <c r="M204" i="2" s="1"/>
  <c r="M203" i="2" s="1"/>
  <c r="M202" i="2" s="1"/>
  <c r="M201" i="2" s="1"/>
  <c r="M246" i="2"/>
  <c r="M240" i="2" s="1"/>
  <c r="M239" i="2" s="1"/>
  <c r="M264" i="2"/>
  <c r="M263" i="2" s="1"/>
  <c r="M262" i="2" s="1"/>
  <c r="O217" i="2" l="1"/>
  <c r="L149" i="2"/>
  <c r="L217" i="2"/>
  <c r="M70" i="2"/>
  <c r="O44" i="2"/>
  <c r="O18" i="2" s="1"/>
  <c r="O71" i="2"/>
  <c r="O70" i="2" s="1"/>
  <c r="L44" i="2"/>
  <c r="L18" i="2" s="1"/>
  <c r="M238" i="2"/>
  <c r="L238" i="2"/>
  <c r="M149" i="2"/>
  <c r="O149" i="2"/>
  <c r="O238" i="2"/>
  <c r="M217" i="2"/>
  <c r="M44" i="2"/>
  <c r="M18" i="2" s="1"/>
  <c r="H124" i="2"/>
  <c r="H123" i="2" s="1"/>
  <c r="H122" i="2" s="1"/>
  <c r="H121" i="2" s="1"/>
  <c r="I162" i="2"/>
  <c r="H161" i="2"/>
  <c r="H157" i="2" s="1"/>
  <c r="H156" i="2" s="1"/>
  <c r="H155" i="2" s="1"/>
  <c r="H257" i="2"/>
  <c r="O210" i="2" l="1"/>
  <c r="L17" i="2"/>
  <c r="L210" i="2"/>
  <c r="O17" i="2"/>
  <c r="M17" i="2"/>
  <c r="M210" i="2"/>
  <c r="H251" i="2"/>
  <c r="I137" i="2"/>
  <c r="H137" i="2"/>
  <c r="H134" i="2" s="1"/>
  <c r="H133" i="2" s="1"/>
  <c r="H132" i="2" s="1"/>
  <c r="H120" i="2" s="1"/>
  <c r="O5" i="2" l="1"/>
  <c r="L5" i="2"/>
  <c r="M5" i="2"/>
  <c r="G81" i="2"/>
  <c r="G77" i="2"/>
  <c r="I124" i="2"/>
  <c r="G124" i="2"/>
  <c r="H234" i="2"/>
  <c r="I102" i="2" l="1"/>
  <c r="I101" i="2" s="1"/>
  <c r="G241" i="2" l="1"/>
  <c r="I224" i="2"/>
  <c r="I223" i="2" s="1"/>
  <c r="I221" i="2"/>
  <c r="I220" i="2" s="1"/>
  <c r="I200" i="2"/>
  <c r="I199" i="2" s="1"/>
  <c r="I198" i="2" s="1"/>
  <c r="I197" i="2" s="1"/>
  <c r="I196" i="2" s="1"/>
  <c r="I195" i="2" s="1"/>
  <c r="I194" i="2"/>
  <c r="I193" i="2" s="1"/>
  <c r="I192" i="2" s="1"/>
  <c r="I191" i="2" s="1"/>
  <c r="I190" i="2" s="1"/>
  <c r="I189" i="2" s="1"/>
  <c r="I187" i="2"/>
  <c r="I186" i="2" s="1"/>
  <c r="I185" i="2" s="1"/>
  <c r="I184" i="2" s="1"/>
  <c r="I183" i="2"/>
  <c r="I181" i="2" s="1"/>
  <c r="I179" i="2"/>
  <c r="I178" i="2" s="1"/>
  <c r="I175" i="2"/>
  <c r="I219" i="2" l="1"/>
  <c r="I218" i="2" s="1"/>
  <c r="I174" i="2"/>
  <c r="I100" i="2"/>
  <c r="I99" i="2" s="1"/>
  <c r="I98" i="2" s="1"/>
  <c r="I295" i="2"/>
  <c r="I294" i="2" s="1"/>
  <c r="I288" i="2"/>
  <c r="I286" i="2"/>
  <c r="I284" i="2"/>
  <c r="I283" i="2"/>
  <c r="I282" i="2" s="1"/>
  <c r="I305" i="2"/>
  <c r="I304" i="2" s="1"/>
  <c r="I303" i="2" s="1"/>
  <c r="I302" i="2" s="1"/>
  <c r="I301" i="2"/>
  <c r="I300" i="2" s="1"/>
  <c r="I298" i="2"/>
  <c r="I268" i="2"/>
  <c r="I264" i="2" s="1"/>
  <c r="I260" i="2"/>
  <c r="I259" i="2" s="1"/>
  <c r="I248" i="2"/>
  <c r="I247" i="2" s="1"/>
  <c r="I244" i="2"/>
  <c r="I241" i="2"/>
  <c r="I230" i="2"/>
  <c r="I229" i="2" s="1"/>
  <c r="I228" i="2" s="1"/>
  <c r="I227" i="2" s="1"/>
  <c r="I216" i="2"/>
  <c r="I215" i="2" s="1"/>
  <c r="I214" i="2" s="1"/>
  <c r="I213" i="2" s="1"/>
  <c r="I212" i="2" s="1"/>
  <c r="I211" i="2" s="1"/>
  <c r="I170" i="2"/>
  <c r="I173" i="2"/>
  <c r="I172" i="2" s="1"/>
  <c r="I208" i="2"/>
  <c r="I207" i="2"/>
  <c r="I166" i="2"/>
  <c r="I164" i="2"/>
  <c r="I161" i="2"/>
  <c r="I158" i="2"/>
  <c r="I153" i="2"/>
  <c r="I152" i="2" s="1"/>
  <c r="I151" i="2" s="1"/>
  <c r="I150" i="2" s="1"/>
  <c r="I147" i="2"/>
  <c r="I146" i="2" s="1"/>
  <c r="I145" i="2" s="1"/>
  <c r="I144" i="2" s="1"/>
  <c r="I142" i="2"/>
  <c r="I141" i="2" s="1"/>
  <c r="I140" i="2" s="1"/>
  <c r="I139" i="2" s="1"/>
  <c r="I135" i="2"/>
  <c r="I128" i="2"/>
  <c r="I123" i="2" s="1"/>
  <c r="I122" i="2" s="1"/>
  <c r="I121" i="2" s="1"/>
  <c r="I118" i="2"/>
  <c r="I117" i="2"/>
  <c r="I115" i="2" s="1"/>
  <c r="I110" i="2"/>
  <c r="I109" i="2" s="1"/>
  <c r="I107" i="2"/>
  <c r="I106" i="2" s="1"/>
  <c r="I105" i="2" s="1"/>
  <c r="I75" i="2"/>
  <c r="I74" i="2" s="1"/>
  <c r="I73" i="2" s="1"/>
  <c r="I72" i="2" s="1"/>
  <c r="I95" i="2"/>
  <c r="I91" i="2"/>
  <c r="I68" i="2"/>
  <c r="I67" i="2" s="1"/>
  <c r="I65" i="2"/>
  <c r="I64" i="2"/>
  <c r="I62" i="2"/>
  <c r="I61" i="2" s="1"/>
  <c r="I48" i="2"/>
  <c r="I47" i="2" s="1"/>
  <c r="I51" i="2"/>
  <c r="I49" i="2"/>
  <c r="I34" i="2"/>
  <c r="I28" i="2"/>
  <c r="I27" i="2" s="1"/>
  <c r="I26" i="2" s="1"/>
  <c r="I25" i="2" s="1"/>
  <c r="I41" i="2"/>
  <c r="I40" i="2" s="1"/>
  <c r="I42" i="2"/>
  <c r="I23" i="2"/>
  <c r="I22" i="2" s="1"/>
  <c r="I21" i="2" s="1"/>
  <c r="I20" i="2" s="1"/>
  <c r="I19" i="2" s="1"/>
  <c r="I14" i="2"/>
  <c r="I13" i="2"/>
  <c r="I12" i="2"/>
  <c r="I257" i="2"/>
  <c r="H201" i="2"/>
  <c r="I114" i="2" l="1"/>
  <c r="I113" i="2" s="1"/>
  <c r="I104" i="2" s="1"/>
  <c r="I97" i="2" s="1"/>
  <c r="I134" i="2"/>
  <c r="I133" i="2" s="1"/>
  <c r="I132" i="2" s="1"/>
  <c r="I120" i="2" s="1"/>
  <c r="I63" i="2"/>
  <c r="I60" i="2" s="1"/>
  <c r="I59" i="2" s="1"/>
  <c r="I32" i="2"/>
  <c r="I31" i="2" s="1"/>
  <c r="I30" i="2" s="1"/>
  <c r="I24" i="2" s="1"/>
  <c r="I11" i="2"/>
  <c r="I10" i="2" s="1"/>
  <c r="I9" i="2" s="1"/>
  <c r="I8" i="2" s="1"/>
  <c r="I7" i="2" s="1"/>
  <c r="I6" i="2" s="1"/>
  <c r="I169" i="2"/>
  <c r="I168" i="2" s="1"/>
  <c r="I39" i="2"/>
  <c r="I38" i="2" s="1"/>
  <c r="I37" i="2" s="1"/>
  <c r="I157" i="2"/>
  <c r="I156" i="2" s="1"/>
  <c r="I155" i="2" s="1"/>
  <c r="I206" i="2"/>
  <c r="I205" i="2" s="1"/>
  <c r="I204" i="2" s="1"/>
  <c r="I203" i="2" s="1"/>
  <c r="I202" i="2" s="1"/>
  <c r="I201" i="2" s="1"/>
  <c r="H241" i="2"/>
  <c r="H233" i="2"/>
  <c r="H232" i="2" s="1"/>
  <c r="H231" i="2" s="1"/>
  <c r="H6" i="2"/>
  <c r="H294" i="2"/>
  <c r="G294" i="2"/>
  <c r="H288" i="2"/>
  <c r="H286" i="2"/>
  <c r="H282" i="2"/>
  <c r="H272" i="2"/>
  <c r="H271" i="2" s="1"/>
  <c r="H263" i="2" s="1"/>
  <c r="H262" i="2" s="1"/>
  <c r="H256" i="2"/>
  <c r="H255" i="2" s="1"/>
  <c r="H229" i="2"/>
  <c r="H228" i="2" s="1"/>
  <c r="H227" i="2" s="1"/>
  <c r="H226" i="2" l="1"/>
  <c r="H217" i="2" s="1"/>
  <c r="I149" i="2"/>
  <c r="H281" i="2"/>
  <c r="H277" i="2" s="1"/>
  <c r="H276" i="2" s="1"/>
  <c r="H172" i="2" l="1"/>
  <c r="H170" i="2"/>
  <c r="H85" i="2"/>
  <c r="H71" i="2" s="1"/>
  <c r="H47" i="2"/>
  <c r="H57" i="2"/>
  <c r="H56" i="2" s="1"/>
  <c r="G58" i="2"/>
  <c r="I58" i="2" s="1"/>
  <c r="I57" i="2" s="1"/>
  <c r="I56" i="2" s="1"/>
  <c r="H32" i="2"/>
  <c r="H31" i="2" s="1"/>
  <c r="H30" i="2" s="1"/>
  <c r="H24" i="2" s="1"/>
  <c r="H53" i="2"/>
  <c r="H249" i="2"/>
  <c r="H246" i="2" l="1"/>
  <c r="H70" i="2"/>
  <c r="H169" i="2"/>
  <c r="H168" i="2" s="1"/>
  <c r="H149" i="2" s="1"/>
  <c r="H46" i="2"/>
  <c r="H45" i="2" s="1"/>
  <c r="H44" i="2" s="1"/>
  <c r="H18" i="2" s="1"/>
  <c r="G57" i="2"/>
  <c r="G250" i="2"/>
  <c r="I250" i="2" s="1"/>
  <c r="G88" i="2"/>
  <c r="I249" i="2" l="1"/>
  <c r="I246" i="2" s="1"/>
  <c r="H240" i="2"/>
  <c r="H239" i="2" s="1"/>
  <c r="H238" i="2" s="1"/>
  <c r="H210" i="2" s="1"/>
  <c r="H17" i="2"/>
  <c r="I88" i="2"/>
  <c r="I87" i="2" s="1"/>
  <c r="G87" i="2"/>
  <c r="J33" i="2"/>
  <c r="G33" i="2"/>
  <c r="J200" i="2"/>
  <c r="G200" i="2"/>
  <c r="G230" i="2"/>
  <c r="G258" i="2"/>
  <c r="H5" i="2" l="1"/>
  <c r="I86" i="2"/>
  <c r="I85" i="2" s="1"/>
  <c r="I258" i="2"/>
  <c r="I256" i="2" s="1"/>
  <c r="I255" i="2" s="1"/>
  <c r="I240" i="2" s="1"/>
  <c r="I239" i="2" s="1"/>
  <c r="G256" i="2"/>
  <c r="G216" i="2"/>
  <c r="I71" i="2" l="1"/>
  <c r="I70" i="2" s="1"/>
  <c r="J268" i="2"/>
  <c r="G268" i="2"/>
  <c r="J305" i="2" l="1"/>
  <c r="J304" i="2" s="1"/>
  <c r="J303" i="2" s="1"/>
  <c r="J302" i="2" s="1"/>
  <c r="G305" i="2"/>
  <c r="G304" i="2" s="1"/>
  <c r="G303" i="2" s="1"/>
  <c r="G302" i="2" s="1"/>
  <c r="G301" i="2"/>
  <c r="G300" i="2" s="1"/>
  <c r="J300" i="2"/>
  <c r="G299" i="2"/>
  <c r="G298" i="2" s="1"/>
  <c r="J298" i="2"/>
  <c r="J296" i="2"/>
  <c r="G296" i="2"/>
  <c r="J291" i="2"/>
  <c r="G291" i="2"/>
  <c r="J288" i="2"/>
  <c r="G288" i="2"/>
  <c r="J286" i="2"/>
  <c r="G286" i="2"/>
  <c r="J284" i="2"/>
  <c r="G284" i="2"/>
  <c r="J283" i="2"/>
  <c r="J282" i="2" s="1"/>
  <c r="G283" i="2"/>
  <c r="G282" i="2" s="1"/>
  <c r="J279" i="2"/>
  <c r="J278" i="2" s="1"/>
  <c r="G279" i="2"/>
  <c r="G278" i="2" s="1"/>
  <c r="G273" i="2"/>
  <c r="G265" i="2"/>
  <c r="J260" i="2"/>
  <c r="J259" i="2" s="1"/>
  <c r="G260" i="2"/>
  <c r="G259" i="2" s="1"/>
  <c r="G255" i="2"/>
  <c r="G252" i="2"/>
  <c r="G249" i="2"/>
  <c r="J247" i="2"/>
  <c r="G247" i="2"/>
  <c r="J244" i="2"/>
  <c r="G244" i="2"/>
  <c r="J236" i="2"/>
  <c r="G236" i="2"/>
  <c r="J234" i="2"/>
  <c r="G234" i="2"/>
  <c r="J229" i="2"/>
  <c r="J228" i="2" s="1"/>
  <c r="J227" i="2" s="1"/>
  <c r="G229" i="2"/>
  <c r="J224" i="2"/>
  <c r="J223" i="2" s="1"/>
  <c r="G224" i="2"/>
  <c r="G223" i="2" s="1"/>
  <c r="J221" i="2"/>
  <c r="J220" i="2" s="1"/>
  <c r="G221" i="2"/>
  <c r="G220" i="2" s="1"/>
  <c r="J215" i="2"/>
  <c r="J214" i="2" s="1"/>
  <c r="J213" i="2" s="1"/>
  <c r="J212" i="2" s="1"/>
  <c r="J211" i="2" s="1"/>
  <c r="G215" i="2"/>
  <c r="G214" i="2" s="1"/>
  <c r="G213" i="2" s="1"/>
  <c r="G212" i="2" s="1"/>
  <c r="G211" i="2" s="1"/>
  <c r="J208" i="2"/>
  <c r="G208" i="2"/>
  <c r="J207" i="2"/>
  <c r="G207" i="2"/>
  <c r="J199" i="2"/>
  <c r="J198" i="2" s="1"/>
  <c r="J197" i="2" s="1"/>
  <c r="J196" i="2" s="1"/>
  <c r="J195" i="2" s="1"/>
  <c r="G199" i="2"/>
  <c r="G198" i="2" s="1"/>
  <c r="G197" i="2" s="1"/>
  <c r="G196" i="2" s="1"/>
  <c r="G195" i="2" s="1"/>
  <c r="J194" i="2"/>
  <c r="J193" i="2" s="1"/>
  <c r="J192" i="2" s="1"/>
  <c r="J191" i="2" s="1"/>
  <c r="J190" i="2" s="1"/>
  <c r="J189" i="2" s="1"/>
  <c r="G194" i="2"/>
  <c r="G193" i="2" s="1"/>
  <c r="G192" i="2" s="1"/>
  <c r="G191" i="2" s="1"/>
  <c r="G190" i="2" s="1"/>
  <c r="G189" i="2" s="1"/>
  <c r="J187" i="2"/>
  <c r="J186" i="2" s="1"/>
  <c r="J185" i="2" s="1"/>
  <c r="J184" i="2" s="1"/>
  <c r="G187" i="2"/>
  <c r="G186" i="2" s="1"/>
  <c r="G185" i="2" s="1"/>
  <c r="G184" i="2" s="1"/>
  <c r="J183" i="2"/>
  <c r="J181" i="2" s="1"/>
  <c r="G183" i="2"/>
  <c r="G181" i="2" s="1"/>
  <c r="J179" i="2"/>
  <c r="J178" i="2" s="1"/>
  <c r="G179" i="2"/>
  <c r="G178" i="2" s="1"/>
  <c r="J175" i="2"/>
  <c r="G175" i="2"/>
  <c r="G172" i="2"/>
  <c r="J170" i="2"/>
  <c r="G170" i="2"/>
  <c r="J166" i="2"/>
  <c r="G166" i="2"/>
  <c r="J164" i="2"/>
  <c r="G164" i="2"/>
  <c r="G161" i="2"/>
  <c r="J158" i="2"/>
  <c r="G158" i="2"/>
  <c r="J153" i="2"/>
  <c r="J152" i="2" s="1"/>
  <c r="J151" i="2" s="1"/>
  <c r="J150" i="2" s="1"/>
  <c r="G153" i="2"/>
  <c r="G152" i="2" s="1"/>
  <c r="G151" i="2" s="1"/>
  <c r="G150" i="2" s="1"/>
  <c r="J147" i="2"/>
  <c r="J146" i="2" s="1"/>
  <c r="J145" i="2" s="1"/>
  <c r="J144" i="2" s="1"/>
  <c r="G147" i="2"/>
  <c r="G146" i="2" s="1"/>
  <c r="G145" i="2" s="1"/>
  <c r="G144" i="2" s="1"/>
  <c r="J142" i="2"/>
  <c r="J141" i="2" s="1"/>
  <c r="J140" i="2" s="1"/>
  <c r="J139" i="2" s="1"/>
  <c r="G142" i="2"/>
  <c r="G141" i="2" s="1"/>
  <c r="G140" i="2" s="1"/>
  <c r="G139" i="2" s="1"/>
  <c r="J135" i="2"/>
  <c r="J134" i="2" s="1"/>
  <c r="J133" i="2" s="1"/>
  <c r="J132" i="2" s="1"/>
  <c r="G135" i="2"/>
  <c r="G134" i="2" s="1"/>
  <c r="G133" i="2" s="1"/>
  <c r="G132" i="2" s="1"/>
  <c r="J128" i="2"/>
  <c r="J123" i="2" s="1"/>
  <c r="G128" i="2"/>
  <c r="J118" i="2"/>
  <c r="G118" i="2"/>
  <c r="G117" i="2"/>
  <c r="G115" i="2" s="1"/>
  <c r="J115" i="2"/>
  <c r="J110" i="2"/>
  <c r="J109" i="2" s="1"/>
  <c r="G111" i="2"/>
  <c r="G110" i="2" s="1"/>
  <c r="G109" i="2" s="1"/>
  <c r="G107" i="2"/>
  <c r="G106" i="2" s="1"/>
  <c r="G105" i="2" s="1"/>
  <c r="G100" i="2"/>
  <c r="G99" i="2" s="1"/>
  <c r="G98" i="2" s="1"/>
  <c r="J95" i="2"/>
  <c r="G95" i="2"/>
  <c r="J91" i="2"/>
  <c r="G91" i="2"/>
  <c r="J88" i="2"/>
  <c r="J87" i="2" s="1"/>
  <c r="J75" i="2"/>
  <c r="J74" i="2" s="1"/>
  <c r="J73" i="2" s="1"/>
  <c r="J72" i="2" s="1"/>
  <c r="G75" i="2"/>
  <c r="G74" i="2" s="1"/>
  <c r="G73" i="2" s="1"/>
  <c r="G72" i="2" s="1"/>
  <c r="J68" i="2"/>
  <c r="J67" i="2" s="1"/>
  <c r="G68" i="2"/>
  <c r="G67" i="2" s="1"/>
  <c r="J65" i="2"/>
  <c r="G65" i="2"/>
  <c r="J64" i="2"/>
  <c r="G64" i="2"/>
  <c r="J62" i="2"/>
  <c r="J61" i="2" s="1"/>
  <c r="G62" i="2"/>
  <c r="G61" i="2" s="1"/>
  <c r="J57" i="2"/>
  <c r="J56" i="2" s="1"/>
  <c r="G56" i="2"/>
  <c r="J54" i="2"/>
  <c r="G54" i="2"/>
  <c r="I54" i="2" s="1"/>
  <c r="I53" i="2" s="1"/>
  <c r="I46" i="2" s="1"/>
  <c r="I45" i="2" s="1"/>
  <c r="I44" i="2" s="1"/>
  <c r="I18" i="2" s="1"/>
  <c r="I17" i="2" s="1"/>
  <c r="J51" i="2"/>
  <c r="G51" i="2"/>
  <c r="J49" i="2"/>
  <c r="G49" i="2"/>
  <c r="J47" i="2"/>
  <c r="G47" i="2"/>
  <c r="J42" i="2"/>
  <c r="G42" i="2"/>
  <c r="J40" i="2"/>
  <c r="G40" i="2"/>
  <c r="G32" i="2"/>
  <c r="G31" i="2" s="1"/>
  <c r="G30" i="2" s="1"/>
  <c r="J28" i="2"/>
  <c r="J27" i="2" s="1"/>
  <c r="J26" i="2" s="1"/>
  <c r="J25" i="2" s="1"/>
  <c r="G28" i="2"/>
  <c r="G27" i="2" s="1"/>
  <c r="G26" i="2" s="1"/>
  <c r="G25" i="2" s="1"/>
  <c r="J23" i="2"/>
  <c r="J22" i="2" s="1"/>
  <c r="J21" i="2" s="1"/>
  <c r="J20" i="2" s="1"/>
  <c r="J19" i="2" s="1"/>
  <c r="G23" i="2"/>
  <c r="G22" i="2" s="1"/>
  <c r="G21" i="2" s="1"/>
  <c r="G20" i="2" s="1"/>
  <c r="G19" i="2" s="1"/>
  <c r="J14" i="2"/>
  <c r="G14" i="2"/>
  <c r="J13" i="2"/>
  <c r="G13" i="2"/>
  <c r="J12" i="2"/>
  <c r="G12" i="2"/>
  <c r="G246" i="2" l="1"/>
  <c r="G240" i="2" s="1"/>
  <c r="G239" i="2" s="1"/>
  <c r="G157" i="2"/>
  <c r="G156" i="2" s="1"/>
  <c r="G155" i="2" s="1"/>
  <c r="G174" i="2"/>
  <c r="G169" i="2" s="1"/>
  <c r="G168" i="2" s="1"/>
  <c r="G228" i="2"/>
  <c r="G227" i="2" s="1"/>
  <c r="G233" i="2"/>
  <c r="G232" i="2" s="1"/>
  <c r="G231" i="2" s="1"/>
  <c r="I234" i="2"/>
  <c r="I233" i="2" s="1"/>
  <c r="I232" i="2" s="1"/>
  <c r="I231" i="2" s="1"/>
  <c r="I226" i="2" s="1"/>
  <c r="I217" i="2" s="1"/>
  <c r="G272" i="2"/>
  <c r="G271" i="2" s="1"/>
  <c r="I273" i="2"/>
  <c r="I272" i="2" s="1"/>
  <c r="I271" i="2" s="1"/>
  <c r="I263" i="2" s="1"/>
  <c r="I262" i="2" s="1"/>
  <c r="I291" i="2"/>
  <c r="I290" i="2" s="1"/>
  <c r="I281" i="2" s="1"/>
  <c r="I277" i="2" s="1"/>
  <c r="I276" i="2" s="1"/>
  <c r="G290" i="2"/>
  <c r="G281" i="2" s="1"/>
  <c r="G277" i="2" s="1"/>
  <c r="G276" i="2" s="1"/>
  <c r="G53" i="2"/>
  <c r="G46" i="2" s="1"/>
  <c r="G45" i="2" s="1"/>
  <c r="G86" i="2"/>
  <c r="G85" i="2" s="1"/>
  <c r="G71" i="2" s="1"/>
  <c r="J122" i="2"/>
  <c r="J121" i="2" s="1"/>
  <c r="J120" i="2" s="1"/>
  <c r="G63" i="2"/>
  <c r="G60" i="2" s="1"/>
  <c r="G59" i="2" s="1"/>
  <c r="G264" i="2"/>
  <c r="G114" i="2"/>
  <c r="G113" i="2" s="1"/>
  <c r="J39" i="2"/>
  <c r="J38" i="2" s="1"/>
  <c r="J37" i="2" s="1"/>
  <c r="G206" i="2"/>
  <c r="G205" i="2" s="1"/>
  <c r="G204" i="2" s="1"/>
  <c r="G203" i="2" s="1"/>
  <c r="G202" i="2" s="1"/>
  <c r="G201" i="2" s="1"/>
  <c r="J63" i="2"/>
  <c r="J60" i="2" s="1"/>
  <c r="J59" i="2" s="1"/>
  <c r="J114" i="2"/>
  <c r="J113" i="2" s="1"/>
  <c r="J11" i="2"/>
  <c r="J10" i="2" s="1"/>
  <c r="J9" i="2" s="1"/>
  <c r="J8" i="2" s="1"/>
  <c r="J7" i="2" s="1"/>
  <c r="J6" i="2" s="1"/>
  <c r="G219" i="2"/>
  <c r="G218" i="2" s="1"/>
  <c r="G11" i="2"/>
  <c r="G10" i="2" s="1"/>
  <c r="G9" i="2" s="1"/>
  <c r="G8" i="2" s="1"/>
  <c r="G7" i="2" s="1"/>
  <c r="G6" i="2" s="1"/>
  <c r="J206" i="2"/>
  <c r="J205" i="2" s="1"/>
  <c r="J204" i="2" s="1"/>
  <c r="J203" i="2" s="1"/>
  <c r="J202" i="2" s="1"/>
  <c r="J201" i="2" s="1"/>
  <c r="J226" i="2"/>
  <c r="G24" i="2"/>
  <c r="J157" i="2"/>
  <c r="J156" i="2" s="1"/>
  <c r="J155" i="2" s="1"/>
  <c r="J219" i="2"/>
  <c r="J218" i="2" s="1"/>
  <c r="G39" i="2"/>
  <c r="G38" i="2" s="1"/>
  <c r="G37" i="2" s="1"/>
  <c r="J86" i="2"/>
  <c r="J85" i="2" s="1"/>
  <c r="J71" i="2" s="1"/>
  <c r="J70" i="2" s="1"/>
  <c r="J174" i="2"/>
  <c r="J169" i="2" s="1"/>
  <c r="J168" i="2" s="1"/>
  <c r="G123" i="2"/>
  <c r="G122" i="2" s="1"/>
  <c r="G121" i="2" s="1"/>
  <c r="G120" i="2" s="1"/>
  <c r="J24" i="2"/>
  <c r="J53" i="2"/>
  <c r="J46" i="2" s="1"/>
  <c r="J45" i="2" s="1"/>
  <c r="J246" i="2"/>
  <c r="J240" i="2" s="1"/>
  <c r="J239" i="2" s="1"/>
  <c r="J264" i="2"/>
  <c r="J263" i="2" s="1"/>
  <c r="J262" i="2" s="1"/>
  <c r="G149" i="2" l="1"/>
  <c r="G263" i="2"/>
  <c r="G262" i="2" s="1"/>
  <c r="G238" i="2" s="1"/>
  <c r="G226" i="2"/>
  <c r="G217" i="2" s="1"/>
  <c r="I238" i="2"/>
  <c r="I210" i="2" s="1"/>
  <c r="I5" i="2" s="1"/>
  <c r="G44" i="2"/>
  <c r="G18" i="2" s="1"/>
  <c r="G70" i="2"/>
  <c r="G104" i="2"/>
  <c r="G97" i="2" s="1"/>
  <c r="J149" i="2"/>
  <c r="J217" i="2"/>
  <c r="J107" i="2"/>
  <c r="J106" i="2" s="1"/>
  <c r="J105" i="2" s="1"/>
  <c r="J104" i="2" s="1"/>
  <c r="J97" i="2" s="1"/>
  <c r="J44" i="2"/>
  <c r="J18" i="2" s="1"/>
  <c r="J281" i="2"/>
  <c r="J277" i="2" s="1"/>
  <c r="J276" i="2" s="1"/>
  <c r="J238" i="2" s="1"/>
  <c r="G17" i="2" l="1"/>
  <c r="G210" i="2"/>
  <c r="J210" i="2"/>
  <c r="J17" i="2"/>
  <c r="G5" i="2" l="1"/>
  <c r="J5" i="2"/>
</calcChain>
</file>

<file path=xl/sharedStrings.xml><?xml version="1.0" encoding="utf-8"?>
<sst xmlns="http://schemas.openxmlformats.org/spreadsheetml/2006/main" count="1819" uniqueCount="273">
  <si>
    <t/>
  </si>
  <si>
    <t>Рубли</t>
  </si>
  <si>
    <t>Наименование</t>
  </si>
  <si>
    <t>ВЕД</t>
  </si>
  <si>
    <t>РЗ</t>
  </si>
  <si>
    <t>ПР</t>
  </si>
  <si>
    <t>ЦСР</t>
  </si>
  <si>
    <t>ВР</t>
  </si>
  <si>
    <t>ВСЕГО</t>
  </si>
  <si>
    <t>Администрация муниципального образования "Город Мирный" Мирнинского района Республики Саха (Якутия)</t>
  </si>
  <si>
    <t>801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</si>
  <si>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</si>
  <si>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</si>
  <si>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</si>
  <si>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</si>
  <si>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</si>
  <si>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</si>
  <si>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</si>
  <si>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</si>
  <si>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</si>
  <si>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</si>
  <si>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</si>
  <si>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гос.нужд</t>
  </si>
  <si>
    <t>200</t>
  </si>
  <si>
    <t>Депутаты представительного органа муниципального образования</t>
  </si>
  <si>
    <t>99 1 00 11720</t>
  </si>
  <si>
    <t>Муниципальное учреждение "Мирнинский городской Совет"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</si>
  <si>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</si>
  <si>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</si>
  <si>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</si>
  <si>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</si>
  <si>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</si>
  <si>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</si>
  <si>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</si>
  <si>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</si>
  <si>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</si>
  <si>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</si>
  <si>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</si>
  <si>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</si>
  <si>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400</t>
  </si>
  <si>
    <t>Иные бюджетные ассигнования</t>
  </si>
  <si>
    <t>800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</si>
  <si>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</si>
  <si>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</si>
  <si>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</si>
  <si>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</si>
  <si>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</si>
  <si>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</si>
  <si>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</si>
  <si>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</si>
  <si>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</si>
  <si>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</si>
  <si>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</si>
  <si>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</si>
  <si>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</si>
  <si>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</si>
  <si>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</si>
  <si>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</si>
  <si>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</si>
  <si>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</si>
  <si>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</si>
  <si>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</si>
  <si>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</si>
  <si>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</si>
  <si>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</si>
  <si>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</si>
  <si>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</si>
  <si>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</si>
  <si>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</si>
  <si>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</si>
  <si>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</si>
  <si>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</si>
  <si>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</si>
  <si>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300</t>
  </si>
  <si>
    <t>Условно утвержденные расходы</t>
  </si>
  <si>
    <t>99 9 00 00000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</si>
  <si>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</si>
  <si>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</si>
  <si>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</si>
  <si>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</si>
  <si>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</si>
  <si>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</si>
  <si>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</si>
  <si>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</si>
  <si>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Расходы по обеспечению противопожарной и антитеррористической безопасности</t>
  </si>
  <si>
    <t>99 5 00 91004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</si>
  <si>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</si>
  <si>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</si>
  <si>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</si>
  <si>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</si>
  <si>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Транспорт</t>
  </si>
  <si>
    <t>08</t>
  </si>
  <si>
    <t>Другие вопросы в области национальной экономики</t>
  </si>
  <si>
    <t>12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</si>
  <si>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</si>
  <si>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</si>
  <si>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</si>
  <si>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</si>
  <si>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</si>
  <si>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</si>
  <si>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</si>
  <si>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</si>
  <si>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</si>
  <si>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</si>
  <si>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</si>
  <si>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</si>
  <si>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</si>
  <si>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05</t>
  </si>
  <si>
    <t>Жилищное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</si>
  <si>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</si>
  <si>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</si>
  <si>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</si>
  <si>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</si>
  <si>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</si>
  <si>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20 3 00 S4003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</si>
  <si>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</si>
  <si>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</si>
  <si>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</si>
  <si>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</si>
  <si>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</si>
  <si>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</si>
  <si>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</si>
  <si>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</si>
  <si>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</si>
  <si>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Расходы на обеспечение деятельности (оказание услуг) муниципальных учреждений</t>
  </si>
  <si>
    <t>15 1 00 22001</t>
  </si>
  <si>
    <t>Поддержка социально ориентированных некоммерческих организаций</t>
  </si>
  <si>
    <t>15 2 00 10010</t>
  </si>
  <si>
    <t>600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</si>
  <si>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</si>
  <si>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</si>
  <si>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</si>
  <si>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</si>
  <si>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</si>
  <si>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</si>
  <si>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</si>
  <si>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</si>
  <si>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</si>
  <si>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</si>
  <si>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20 3 00 S4001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</si>
  <si>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</si>
  <si>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</si>
  <si>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</si>
  <si>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</si>
  <si>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</si>
  <si>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</si>
  <si>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</si>
  <si>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</si>
  <si>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</si>
  <si>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</si>
  <si>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</si>
  <si>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</si>
  <si>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</si>
  <si>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</si>
  <si>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99 1 00 11740</t>
  </si>
  <si>
    <t>Муниципальное учреждение "Контрольно-счётная палата"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</si>
  <si>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</si>
  <si>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</si>
  <si>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</si>
  <si>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Обеспечение общих условий функционирования отраслей агропромышленного комплекса</t>
  </si>
  <si>
    <t>25 В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</si>
  <si>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</si>
  <si>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В 00 63360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</si>
  <si>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</si>
  <si>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</si>
  <si>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</si>
  <si>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</si>
  <si>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</si>
  <si>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</si>
  <si>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</si>
  <si>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</si>
  <si>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</si>
  <si>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</si>
  <si>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</si>
  <si>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</si>
  <si>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</si>
  <si>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</si>
  <si>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</si>
  <si>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</si>
  <si>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</si>
  <si>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</si>
  <si>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</si>
  <si>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</si>
  <si>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</si>
  <si>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</si>
  <si>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</si>
  <si>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</si>
  <si>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Коммунальное хозяйство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</si>
  <si>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</si>
  <si>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</si>
  <si>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</si>
  <si>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</si>
  <si>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Благоустройство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</si>
  <si>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</si>
  <si>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</si>
  <si>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</si>
  <si>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</si>
  <si>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</si>
  <si>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</si>
  <si>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</si>
  <si>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</si>
  <si>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</si>
  <si>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</si>
  <si>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</si>
  <si>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</si>
  <si>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Прочие мероприятия по благоустройству</t>
  </si>
  <si>
    <t>23 2 00 10090</t>
  </si>
  <si>
    <t>23 2 00 S2650</t>
  </si>
  <si>
    <t>Другие вопросы в области жилищно-коммунального хозяйства</t>
  </si>
  <si>
    <t>Обеспечивающая подпрограмма</t>
  </si>
  <si>
    <t>18 1 00 00000</t>
  </si>
  <si>
    <t>18 1 00 22001</t>
  </si>
  <si>
    <t>Муниципальное учреждение "Управление Жилищно-Коммунального Хозяйства"</t>
  </si>
  <si>
    <t>07</t>
  </si>
  <si>
    <t>Молодежная политика и оздоровление детей</t>
  </si>
  <si>
    <t>Другие вопросы в области культуры, кинематографии</t>
  </si>
  <si>
    <t>Другие вопросы в области физической культуры и спорта</t>
  </si>
  <si>
    <t>14 1 00 00000</t>
  </si>
  <si>
    <t>14 1 00 22001</t>
  </si>
  <si>
    <t>Другие вопросы в области социальной политики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</si>
  <si>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</si>
  <si>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</si>
  <si>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</si>
  <si>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</si>
  <si>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</si>
  <si>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</si>
  <si>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</si>
  <si>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МБТ ОБЩЕГО ХАРАКТЕРА БЮДЖЕТАМ бюджетной системы РФ</t>
  </si>
  <si>
    <t>СОЦИАЛЬНАЯ ПОЛИТИКА</t>
  </si>
  <si>
    <t>ОБЩЕГОСУДАРСТВЕННЫЕ ВОПРОСЫ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</si>
  <si>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</si>
  <si>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25 Т 00 63360</t>
  </si>
  <si>
    <t>25 Т 00 00000</t>
  </si>
  <si>
    <t>Ветеринарное обеспечение</t>
  </si>
  <si>
    <t>20 3 00 1003 0</t>
  </si>
  <si>
    <t>Переселение граждан из аварийного жилищного фонда</t>
  </si>
  <si>
    <t>20 2 00 S470 1</t>
  </si>
  <si>
    <t>23 2 F2 5555 0</t>
  </si>
  <si>
    <t>Реализация программ формирования современной городской среды</t>
  </si>
  <si>
    <t>20 3 00 L4970</t>
  </si>
  <si>
    <t>Общегосударственные  вопросы</t>
  </si>
  <si>
    <t>23 2 F2 Д555 0</t>
  </si>
  <si>
    <t>Реализация программ формирования современной городской среды (за счет МБ)</t>
  </si>
  <si>
    <t>20 2 00 6470 1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</si>
  <si>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</si>
  <si>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23 2 00 62650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</si>
  <si>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</si>
  <si>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11 1 00 00000</t>
  </si>
  <si>
    <t>11 1 00 22001</t>
  </si>
  <si>
    <t>Предоставление субсидий бюджетным, автономным учреждениям и иным некоммерческим организациям</t>
  </si>
  <si>
    <t>10 1 00 00000</t>
  </si>
  <si>
    <t>10 1 00 22001</t>
  </si>
  <si>
    <t>20 2 00 S4701</t>
  </si>
  <si>
    <t>Ведомственная структура расходов бюджета на 2021 год и на плановый период 2022 и 2023 годов</t>
  </si>
  <si>
    <t>Реализация мероприятий по обеспечению жильем молодых семей</t>
  </si>
  <si>
    <t>Сумма уточнений (+, -)</t>
  </si>
  <si>
    <t>2021 с уточнениями</t>
  </si>
  <si>
    <t>17 0 00 0000 0</t>
  </si>
  <si>
    <t>Профилактика правонарушений</t>
  </si>
  <si>
    <t xml:space="preserve">Повышение эффективности работы в сфере профилактики правонарушений </t>
  </si>
  <si>
    <t>17 1 00 1004 0</t>
  </si>
  <si>
    <t xml:space="preserve">Содействие развитию добровольных народных дружин в сфере охраны общественного порядка </t>
  </si>
  <si>
    <t>17 1 00 0000 0</t>
  </si>
  <si>
    <t xml:space="preserve">Безопасность дорожного движения </t>
  </si>
  <si>
    <t>17 2 00 0000 0</t>
  </si>
  <si>
    <t>17 2 00 1001 0</t>
  </si>
  <si>
    <t>Организация профилактических мероприятий по пропаганде безопасности дорожного движения</t>
  </si>
  <si>
    <t>Предоставление субсидий бюджетным, автономным учреждениям и иным некоммерческим организациям (за счет МБ)</t>
  </si>
  <si>
    <t>2022 с уточнениями</t>
  </si>
  <si>
    <t>2023 с уточнениями</t>
  </si>
  <si>
    <t xml:space="preserve">Социальное обеспечение и иные выплаты населению
</t>
  </si>
  <si>
    <t>Капитальные вложения в объекты государственной (муниципальной) собственности</t>
  </si>
  <si>
    <t xml:space="preserve">Приложение 05
к решению городского Совета
от 04.03.2021 № IV - 38-5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</si>
</sst>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  <family val="2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2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92D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66">
    <xf numFmtId="0" fontId="0" fillId="0" borderId="0" xfId="0" applyFont="1" applyFill="1" applyAlignment="1">
      <alignment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0" fillId="0" borderId="0" xfId="0">
      <alignment vertical="top" wrapText="1"/>
    </xf>
    <xf numFmtId="0" fontId="1" fillId="0" borderId="1" xfId="0" applyFont="1" applyBorder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1" xfId="0" applyBorder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Fill="1">
      <alignment vertical="top" wrapText="1"/>
    </xf>
    <xf numFmtId="0" fontId="0" fillId="3" borderId="0" xfId="0" applyFill="1">
      <alignment vertical="top" wrapText="1"/>
    </xf>
    <xf numFmtId="0" fontId="3" fillId="0" borderId="0" xfId="0" applyFont="1">
      <alignment vertical="top" wrapText="1"/>
    </xf>
    <xf numFmtId="0" fontId="4" fillId="0" borderId="1" xfId="0" applyFont="1" applyBorder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5" fillId="0" borderId="0" xfId="0" applyFont="1">
      <alignment vertical="top" wrapText="1"/>
    </xf>
    <xf numFmtId="0" fontId="6" fillId="0" borderId="1" xfId="0" applyFont="1" applyBorder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7" fillId="0" borderId="0" xfId="0" applyFont="1">
      <alignment vertical="top" wrapText="1"/>
    </xf>
    <xf numFmtId="0" fontId="5" fillId="0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3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>
      <alignment vertical="top" wrapText="1"/>
    </xf>
    <xf numFmtId="4" fontId="0" fillId="0" borderId="0" xfId="0" applyNumberFormat="1">
      <alignment vertical="top" wrapText="1"/>
    </xf>
    <xf numFmtId="0" fontId="3" fillId="0" borderId="0" xfId="0" applyFont="1" applyFill="1" applyAlignment="1">
      <alignment vertical="top" wrapText="1"/>
    </xf>
    <xf numFmtId="4" fontId="3" fillId="0" borderId="0" xfId="0" applyNumberFormat="1" applyFont="1">
      <alignment vertical="top" wrapText="1"/>
    </xf>
    <xf numFmtId="4" fontId="9" fillId="0" borderId="0" xfId="0" applyNumberFormat="1" applyFo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0" fontId="6" fillId="3" borderId="1" xfId="0" applyFont="1" applyFill="1" applyBorder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1" xfId="0" applyFont="1" applyFill="1" applyBorder="1">
      <alignment vertical="top" wrapText="1"/>
    </xf>
    <xf numFmtId="0" fontId="4" fillId="3" borderId="1" xfId="0" applyFont="1" applyFill="1" applyBorder="1">
      <alignment vertical="top" wrapText="1"/>
    </xf>
    <xf numFmtId="0" fontId="4" fillId="0" borderId="0" xfId="0" applyFont="1">
      <alignment vertical="top" wrapText="1"/>
    </xf>
    <xf numFmtId="0" fontId="10" fillId="0" borderId="1" xfId="0" applyFont="1" applyBorder="1" applyAlignment="1">
      <alignment horizontal="center" vertical="top" wrapText="1"/>
    </xf>
    <xf numFmtId="4" fontId="11" fillId="0" borderId="0" xfId="0" applyNumberFormat="1" applyFont="1" applyFill="1" applyAlignment="1">
      <alignment vertical="top" wrapText="1"/>
    </xf>
    <xf numFmtId="0" fontId="0" fillId="0" borderId="0" xfId="0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0"/>
  <sheetViews>
    <sheetView tabSelected="1" zoomScale="90" zoomScaleNormal="90" workbookViewId="0">
      <selection activeCell="A2" sqref="A2:O2"/>
    </sheetView>
  </sheetViews>
  <sheetFormatPr defaultRowHeight="12.75" outlineLevelRow="1" x14ac:dyDescent="0.2"/>
  <cols>
    <col min="1" max="1" width="81" customWidth="1"/>
    <col min="2" max="2" width="9" customWidth="1"/>
    <col min="3" max="3" width="9.1640625" customWidth="1"/>
    <col min="4" max="4" width="9.33203125" customWidth="1"/>
    <col min="5" max="5" width="15.83203125" customWidth="1"/>
    <col min="6" max="6" width="9.33203125" customWidth="1"/>
    <col min="7" max="7" width="21.1640625" customWidth="1"/>
    <col min="8" max="8" width="18.33203125" style="22" customWidth="1"/>
    <col min="9" max="9" width="22.6640625" style="22" customWidth="1"/>
    <col min="10" max="10" width="20" customWidth="1"/>
    <col min="11" max="11" width="17.83203125" customWidth="1"/>
    <col min="12" max="12" width="20.1640625" customWidth="1"/>
    <col min="13" max="14" width="18.6640625" customWidth="1"/>
    <col min="15" max="15" width="20" customWidth="1"/>
    <col min="16" max="16" width="37.83203125" customWidth="1"/>
    <col min="17" max="17" width="50" customWidth="1"/>
  </cols>
  <sheetData>
    <row r="1" spans="1:17" ht="42.2" customHeight="1" x14ac:dyDescent="0.2">
      <c r="A1" s="63" t="s">
        <v>272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7" ht="32.25" customHeight="1" x14ac:dyDescent="0.2">
      <c r="A2" s="64" t="s">
        <v>253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7" ht="18" customHeight="1" x14ac:dyDescent="0.2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7" ht="33.75" customHeight="1" x14ac:dyDescent="0.2">
      <c r="A4" s="36" t="s">
        <v>2</v>
      </c>
      <c r="B4" s="36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23">
        <v>2021</v>
      </c>
      <c r="H4" s="23" t="s">
        <v>255</v>
      </c>
      <c r="I4" s="23" t="s">
        <v>256</v>
      </c>
      <c r="J4" s="23">
        <v>2022</v>
      </c>
      <c r="K4" s="23" t="s">
        <v>255</v>
      </c>
      <c r="L4" s="23" t="s">
        <v>268</v>
      </c>
      <c r="M4" s="23">
        <v>2023</v>
      </c>
      <c r="N4" s="23" t="s">
        <v>255</v>
      </c>
      <c r="O4" s="23" t="s">
        <v>269</v>
      </c>
      <c r="P4" s="56"/>
      <c r="Q4" s="56"/>
    </row>
    <row r="5" spans="1:17" s="22" customFormat="1" ht="19.5" customHeight="1" x14ac:dyDescent="0.2">
      <c r="A5" s="35" t="s">
        <v>8</v>
      </c>
      <c r="B5" s="36" t="s">
        <v>0</v>
      </c>
      <c r="C5" s="36" t="s">
        <v>0</v>
      </c>
      <c r="D5" s="36" t="s">
        <v>0</v>
      </c>
      <c r="E5" s="36" t="s">
        <v>0</v>
      </c>
      <c r="F5" s="36" t="s">
        <v>0</v>
      </c>
      <c r="G5" s="24">
        <f>G6+G17+G201+G210</f>
        <v>979643505.02999985</v>
      </c>
      <c r="H5" s="24">
        <f>H6+H17+H201+H210</f>
        <v>94185062.019999981</v>
      </c>
      <c r="I5" s="24">
        <f>I6+I17+I201+I210</f>
        <v>1073828567.05</v>
      </c>
      <c r="J5" s="24">
        <f t="shared" ref="J5:O5" si="0">J6+J17+J201+J210</f>
        <v>567867692.81000006</v>
      </c>
      <c r="K5" s="24">
        <f t="shared" si="0"/>
        <v>0</v>
      </c>
      <c r="L5" s="24">
        <f>L6+L17+L201+L210</f>
        <v>567867692.81000006</v>
      </c>
      <c r="M5" s="24">
        <f t="shared" si="0"/>
        <v>585204403.63</v>
      </c>
      <c r="N5" s="24">
        <f t="shared" si="0"/>
        <v>0</v>
      </c>
      <c r="O5" s="24">
        <f t="shared" si="0"/>
        <v>585204403.63</v>
      </c>
      <c r="P5" s="47"/>
    </row>
    <row r="6" spans="1:17" s="22" customFormat="1" ht="15" customHeight="1" x14ac:dyDescent="0.2">
      <c r="A6" s="37" t="s">
        <v>26</v>
      </c>
      <c r="B6" s="38" t="s">
        <v>10</v>
      </c>
      <c r="C6" s="38" t="s">
        <v>0</v>
      </c>
      <c r="D6" s="38" t="s">
        <v>0</v>
      </c>
      <c r="E6" s="38" t="s">
        <v>0</v>
      </c>
      <c r="F6" s="38" t="s">
        <v>0</v>
      </c>
      <c r="G6" s="25">
        <f t="shared" ref="G6:K9" si="1">G7</f>
        <v>4921031</v>
      </c>
      <c r="H6" s="25">
        <f t="shared" si="1"/>
        <v>0</v>
      </c>
      <c r="I6" s="25">
        <f t="shared" si="1"/>
        <v>4921031</v>
      </c>
      <c r="J6" s="25">
        <f t="shared" ref="J6:L9" si="2">J7</f>
        <v>5490919</v>
      </c>
      <c r="K6" s="25">
        <f t="shared" si="1"/>
        <v>0</v>
      </c>
      <c r="L6" s="25">
        <f t="shared" si="2"/>
        <v>5490919</v>
      </c>
      <c r="M6" s="25">
        <f>M7</f>
        <v>5629687</v>
      </c>
      <c r="N6" s="25">
        <f t="shared" ref="N6" si="3">N7</f>
        <v>0</v>
      </c>
      <c r="O6" s="25">
        <f>O7</f>
        <v>5629687</v>
      </c>
    </row>
    <row r="7" spans="1:17" s="22" customFormat="1" x14ac:dyDescent="0.2">
      <c r="A7" s="11" t="s">
        <v>229</v>
      </c>
      <c r="B7" s="39" t="s">
        <v>10</v>
      </c>
      <c r="C7" s="39" t="s">
        <v>11</v>
      </c>
      <c r="D7" s="39" t="s">
        <v>0</v>
      </c>
      <c r="E7" s="39" t="s">
        <v>0</v>
      </c>
      <c r="F7" s="39" t="s">
        <v>0</v>
      </c>
      <c r="G7" s="26">
        <f t="shared" si="1"/>
        <v>4921031</v>
      </c>
      <c r="H7" s="26">
        <v>0</v>
      </c>
      <c r="I7" s="26">
        <f t="shared" si="1"/>
        <v>4921031</v>
      </c>
      <c r="J7" s="26">
        <f t="shared" si="2"/>
        <v>5490919</v>
      </c>
      <c r="K7" s="26">
        <v>0</v>
      </c>
      <c r="L7" s="26">
        <f t="shared" si="2"/>
        <v>5490919</v>
      </c>
      <c r="M7" s="26">
        <f>M8</f>
        <v>5629687</v>
      </c>
      <c r="N7" s="26">
        <v>0</v>
      </c>
      <c r="O7" s="26">
        <f>O8</f>
        <v>5629687</v>
      </c>
    </row>
    <row r="8" spans="1:17" s="22" customFormat="1" ht="38.25" x14ac:dyDescent="0.2">
      <c r="A8" s="40" t="s">
        <v>12</v>
      </c>
      <c r="B8" s="39" t="s">
        <v>10</v>
      </c>
      <c r="C8" s="39" t="s">
        <v>11</v>
      </c>
      <c r="D8" s="39" t="s">
        <v>13</v>
      </c>
      <c r="E8" s="39" t="s">
        <v>0</v>
      </c>
      <c r="F8" s="39" t="s">
        <v>0</v>
      </c>
      <c r="G8" s="26">
        <f t="shared" si="1"/>
        <v>4921031</v>
      </c>
      <c r="H8" s="26">
        <v>0</v>
      </c>
      <c r="I8" s="26">
        <f t="shared" si="1"/>
        <v>4921031</v>
      </c>
      <c r="J8" s="26">
        <f t="shared" si="2"/>
        <v>5490919</v>
      </c>
      <c r="K8" s="26">
        <v>0</v>
      </c>
      <c r="L8" s="26">
        <f t="shared" si="2"/>
        <v>5490919</v>
      </c>
      <c r="M8" s="26">
        <f>M9</f>
        <v>5629687</v>
      </c>
      <c r="N8" s="26">
        <v>0</v>
      </c>
      <c r="O8" s="26">
        <f>O9</f>
        <v>5629687</v>
      </c>
    </row>
    <row r="9" spans="1:17" s="22" customFormat="1" x14ac:dyDescent="0.2">
      <c r="A9" s="40" t="s">
        <v>14</v>
      </c>
      <c r="B9" s="39" t="s">
        <v>10</v>
      </c>
      <c r="C9" s="39" t="s">
        <v>11</v>
      </c>
      <c r="D9" s="39" t="s">
        <v>13</v>
      </c>
      <c r="E9" s="39" t="s">
        <v>15</v>
      </c>
      <c r="F9" s="39" t="s">
        <v>0</v>
      </c>
      <c r="G9" s="26">
        <f t="shared" si="1"/>
        <v>4921031</v>
      </c>
      <c r="H9" s="26">
        <v>0</v>
      </c>
      <c r="I9" s="26">
        <f t="shared" si="1"/>
        <v>4921031</v>
      </c>
      <c r="J9" s="26">
        <f t="shared" si="2"/>
        <v>5490919</v>
      </c>
      <c r="K9" s="26">
        <v>0</v>
      </c>
      <c r="L9" s="26">
        <f t="shared" si="2"/>
        <v>5490919</v>
      </c>
      <c r="M9" s="26">
        <f>M10</f>
        <v>5629687</v>
      </c>
      <c r="N9" s="26">
        <v>0</v>
      </c>
      <c r="O9" s="26">
        <f>O10</f>
        <v>5629687</v>
      </c>
    </row>
    <row r="10" spans="1:17" s="22" customFormat="1" ht="25.5" x14ac:dyDescent="0.2">
      <c r="A10" s="40" t="s">
        <v>16</v>
      </c>
      <c r="B10" s="39" t="s">
        <v>10</v>
      </c>
      <c r="C10" s="39" t="s">
        <v>11</v>
      </c>
      <c r="D10" s="39" t="s">
        <v>13</v>
      </c>
      <c r="E10" s="39" t="s">
        <v>17</v>
      </c>
      <c r="F10" s="39" t="s">
        <v>0</v>
      </c>
      <c r="G10" s="26">
        <f t="shared" ref="G10:J10" si="4">G11+G14</f>
        <v>4921031</v>
      </c>
      <c r="H10" s="26">
        <v>0</v>
      </c>
      <c r="I10" s="26">
        <f t="shared" ref="I10" si="5">I11+I14</f>
        <v>4921031</v>
      </c>
      <c r="J10" s="26">
        <f t="shared" si="4"/>
        <v>5490919</v>
      </c>
      <c r="K10" s="26">
        <v>0</v>
      </c>
      <c r="L10" s="26">
        <f t="shared" ref="L10" si="6">L11+L14</f>
        <v>5490919</v>
      </c>
      <c r="M10" s="26">
        <f>M11+M14</f>
        <v>5629687</v>
      </c>
      <c r="N10" s="26">
        <v>0</v>
      </c>
      <c r="O10" s="26">
        <f>O11+O14</f>
        <v>5629687</v>
      </c>
    </row>
    <row r="11" spans="1:17" s="22" customFormat="1" ht="13.5" x14ac:dyDescent="0.2">
      <c r="A11" s="41" t="s">
        <v>18</v>
      </c>
      <c r="B11" s="42" t="s">
        <v>10</v>
      </c>
      <c r="C11" s="42" t="s">
        <v>11</v>
      </c>
      <c r="D11" s="42" t="s">
        <v>13</v>
      </c>
      <c r="E11" s="42" t="s">
        <v>19</v>
      </c>
      <c r="F11" s="42" t="s">
        <v>0</v>
      </c>
      <c r="G11" s="27">
        <f t="shared" ref="G11:J11" si="7">G12+G13</f>
        <v>4349374</v>
      </c>
      <c r="H11" s="27">
        <v>0</v>
      </c>
      <c r="I11" s="27">
        <f t="shared" ref="I11" si="8">I12+I13</f>
        <v>4349374</v>
      </c>
      <c r="J11" s="27">
        <f t="shared" si="7"/>
        <v>4896412</v>
      </c>
      <c r="K11" s="27">
        <v>0</v>
      </c>
      <c r="L11" s="27">
        <f t="shared" ref="L11" si="9">L12+L13</f>
        <v>4896412</v>
      </c>
      <c r="M11" s="27">
        <f>M12+M13</f>
        <v>5012648</v>
      </c>
      <c r="N11" s="27">
        <v>0</v>
      </c>
      <c r="O11" s="27">
        <f>O12+O13</f>
        <v>5012648</v>
      </c>
    </row>
    <row r="12" spans="1:17" s="22" customFormat="1" x14ac:dyDescent="0.2">
      <c r="A12" s="43" t="s">
        <v>20</v>
      </c>
      <c r="B12" s="44" t="s">
        <v>10</v>
      </c>
      <c r="C12" s="44" t="s">
        <v>11</v>
      </c>
      <c r="D12" s="44" t="s">
        <v>13</v>
      </c>
      <c r="E12" s="44" t="s">
        <v>19</v>
      </c>
      <c r="F12" s="44" t="s">
        <v>21</v>
      </c>
      <c r="G12" s="20">
        <f>2997392+29171+3885+169932+98474+1020+905212</f>
        <v>4205086</v>
      </c>
      <c r="H12" s="20">
        <v>0</v>
      </c>
      <c r="I12" s="20">
        <f>2997392+29171+3885+169932+98474+1020+905212</f>
        <v>4205086</v>
      </c>
      <c r="J12" s="20">
        <f>3105298+30221+6325+530188+102132+340+937800</f>
        <v>4712304</v>
      </c>
      <c r="K12" s="20">
        <v>0</v>
      </c>
      <c r="L12" s="20">
        <f>3105298+30221+6325+530188+102132+340+937800</f>
        <v>4712304</v>
      </c>
      <c r="M12" s="20">
        <f>3198457+31128+4151+551395+105666+965934</f>
        <v>4856731</v>
      </c>
      <c r="N12" s="20">
        <v>0</v>
      </c>
      <c r="O12" s="20">
        <f>3198457+31128+4151+551395+105666+965934</f>
        <v>4856731</v>
      </c>
    </row>
    <row r="13" spans="1:17" s="22" customFormat="1" x14ac:dyDescent="0.2">
      <c r="A13" s="43" t="s">
        <v>22</v>
      </c>
      <c r="B13" s="44" t="s">
        <v>10</v>
      </c>
      <c r="C13" s="44" t="s">
        <v>11</v>
      </c>
      <c r="D13" s="44" t="s">
        <v>13</v>
      </c>
      <c r="E13" s="44" t="s">
        <v>19</v>
      </c>
      <c r="F13" s="44" t="s">
        <v>23</v>
      </c>
      <c r="G13" s="20">
        <f>9000+11152+35633+88503</f>
        <v>144288</v>
      </c>
      <c r="H13" s="20">
        <v>0</v>
      </c>
      <c r="I13" s="20">
        <f>9000+11152+35633+88503</f>
        <v>144288</v>
      </c>
      <c r="J13" s="20">
        <f>9000+11553+37058+92542+33955</f>
        <v>184108</v>
      </c>
      <c r="K13" s="20">
        <v>0</v>
      </c>
      <c r="L13" s="20">
        <f>9000+11553+37058+92542+33955</f>
        <v>184108</v>
      </c>
      <c r="M13" s="20">
        <f>9000+11899+38541+96477</f>
        <v>155917</v>
      </c>
      <c r="N13" s="20">
        <v>0</v>
      </c>
      <c r="O13" s="20">
        <f>9000+11899+38541+96477</f>
        <v>155917</v>
      </c>
    </row>
    <row r="14" spans="1:17" s="22" customFormat="1" ht="13.5" x14ac:dyDescent="0.2">
      <c r="A14" s="41" t="s">
        <v>24</v>
      </c>
      <c r="B14" s="42" t="s">
        <v>10</v>
      </c>
      <c r="C14" s="42" t="s">
        <v>11</v>
      </c>
      <c r="D14" s="42" t="s">
        <v>13</v>
      </c>
      <c r="E14" s="42" t="s">
        <v>25</v>
      </c>
      <c r="F14" s="42" t="s">
        <v>0</v>
      </c>
      <c r="G14" s="27">
        <f t="shared" ref="G14:J14" si="10">G15+G16</f>
        <v>571657</v>
      </c>
      <c r="H14" s="27">
        <v>0</v>
      </c>
      <c r="I14" s="27">
        <f t="shared" ref="I14" si="11">I15+I16</f>
        <v>571657</v>
      </c>
      <c r="J14" s="27">
        <f t="shared" si="10"/>
        <v>594507</v>
      </c>
      <c r="K14" s="27">
        <v>0</v>
      </c>
      <c r="L14" s="27">
        <f t="shared" ref="L14" si="12">L15+L16</f>
        <v>594507</v>
      </c>
      <c r="M14" s="27">
        <f>M15+M16</f>
        <v>617039</v>
      </c>
      <c r="N14" s="27">
        <v>0</v>
      </c>
      <c r="O14" s="27">
        <f>O15+O16</f>
        <v>617039</v>
      </c>
    </row>
    <row r="15" spans="1:17" s="22" customFormat="1" x14ac:dyDescent="0.2">
      <c r="A15" s="43" t="s">
        <v>20</v>
      </c>
      <c r="B15" s="44" t="s">
        <v>10</v>
      </c>
      <c r="C15" s="44" t="s">
        <v>11</v>
      </c>
      <c r="D15" s="44" t="s">
        <v>13</v>
      </c>
      <c r="E15" s="44" t="s">
        <v>25</v>
      </c>
      <c r="F15" s="44" t="s">
        <v>21</v>
      </c>
      <c r="G15" s="20">
        <v>490465</v>
      </c>
      <c r="H15" s="20">
        <v>0</v>
      </c>
      <c r="I15" s="20">
        <v>490465</v>
      </c>
      <c r="J15" s="20">
        <v>508687</v>
      </c>
      <c r="K15" s="20">
        <v>0</v>
      </c>
      <c r="L15" s="20">
        <v>508687</v>
      </c>
      <c r="M15" s="20">
        <v>526327</v>
      </c>
      <c r="N15" s="20">
        <v>0</v>
      </c>
      <c r="O15" s="20">
        <v>526327</v>
      </c>
    </row>
    <row r="16" spans="1:17" s="22" customFormat="1" x14ac:dyDescent="0.2">
      <c r="A16" s="43" t="s">
        <v>22</v>
      </c>
      <c r="B16" s="44" t="s">
        <v>10</v>
      </c>
      <c r="C16" s="44" t="s">
        <v>11</v>
      </c>
      <c r="D16" s="44" t="s">
        <v>13</v>
      </c>
      <c r="E16" s="44" t="s">
        <v>25</v>
      </c>
      <c r="F16" s="44" t="s">
        <v>23</v>
      </c>
      <c r="G16" s="20">
        <v>81192</v>
      </c>
      <c r="H16" s="20">
        <v>0</v>
      </c>
      <c r="I16" s="20">
        <v>81192</v>
      </c>
      <c r="J16" s="20">
        <v>85820</v>
      </c>
      <c r="K16" s="20">
        <v>0</v>
      </c>
      <c r="L16" s="20">
        <v>85820</v>
      </c>
      <c r="M16" s="20">
        <v>90712</v>
      </c>
      <c r="N16" s="20">
        <v>0</v>
      </c>
      <c r="O16" s="20">
        <v>90712</v>
      </c>
    </row>
    <row r="17" spans="1:16" s="14" customFormat="1" ht="25.5" x14ac:dyDescent="0.2">
      <c r="A17" s="45" t="s">
        <v>9</v>
      </c>
      <c r="B17" s="38" t="s">
        <v>10</v>
      </c>
      <c r="C17" s="38" t="s">
        <v>0</v>
      </c>
      <c r="D17" s="38" t="s">
        <v>0</v>
      </c>
      <c r="E17" s="38" t="s">
        <v>0</v>
      </c>
      <c r="F17" s="38" t="s">
        <v>0</v>
      </c>
      <c r="G17" s="25">
        <f>G18+G70+G97+G120+G149+G189+G195+G139+G144+G184</f>
        <v>647847080.02999985</v>
      </c>
      <c r="H17" s="25">
        <f>H18+H70+H97+H120+H149+H189+H195+H139+H144+H184</f>
        <v>-23609247.43</v>
      </c>
      <c r="I17" s="25">
        <f>I18+I70+I97+I120+I149+I189+I195+I139+I144+I184</f>
        <v>624237832.5999999</v>
      </c>
      <c r="J17" s="25">
        <f t="shared" ref="J17:O17" si="13">J18+J70+J97+J120+J149+J189+J195+J139+J144+J184</f>
        <v>327572328.81000006</v>
      </c>
      <c r="K17" s="25">
        <f>K76+K85</f>
        <v>0</v>
      </c>
      <c r="L17" s="25">
        <f>L18+L70+L97+L120+L149+L189+L195+L139+L144+L184</f>
        <v>327572328.81000006</v>
      </c>
      <c r="M17" s="25">
        <f>M18+M70+M97+M120+M149+M189+M195+M139+M144+M184</f>
        <v>348076424.63</v>
      </c>
      <c r="N17" s="25">
        <f>N76+N85</f>
        <v>0</v>
      </c>
      <c r="O17" s="25">
        <f t="shared" si="13"/>
        <v>348076424.63</v>
      </c>
      <c r="P17" s="48"/>
    </row>
    <row r="18" spans="1:16" s="14" customFormat="1" x14ac:dyDescent="0.2">
      <c r="A18" s="11" t="s">
        <v>229</v>
      </c>
      <c r="B18" s="12" t="s">
        <v>10</v>
      </c>
      <c r="C18" s="12" t="s">
        <v>11</v>
      </c>
      <c r="D18" s="12" t="s">
        <v>0</v>
      </c>
      <c r="E18" s="12" t="s">
        <v>0</v>
      </c>
      <c r="F18" s="12" t="s">
        <v>0</v>
      </c>
      <c r="G18" s="13">
        <f>G19+G24+G37+G44</f>
        <v>178025970.30000001</v>
      </c>
      <c r="H18" s="13">
        <f>H19+H24+H37+H44</f>
        <v>1823923.63</v>
      </c>
      <c r="I18" s="13">
        <f>I19+I24+I37+I44</f>
        <v>179849893.93000001</v>
      </c>
      <c r="J18" s="13">
        <f t="shared" ref="J18:L18" si="14">J19+J24+J37+J44</f>
        <v>196635663.07000002</v>
      </c>
      <c r="K18" s="13">
        <v>0</v>
      </c>
      <c r="L18" s="13">
        <f t="shared" si="14"/>
        <v>196635663.07000002</v>
      </c>
      <c r="M18" s="13">
        <f>M19+M24+M37+M44</f>
        <v>217269630.69999999</v>
      </c>
      <c r="N18" s="13">
        <v>0</v>
      </c>
      <c r="O18" s="13">
        <f>O19+O24+O37+O44</f>
        <v>217269630.69999999</v>
      </c>
      <c r="P18" s="50"/>
    </row>
    <row r="19" spans="1:16" s="14" customFormat="1" ht="25.5" x14ac:dyDescent="0.2">
      <c r="A19" s="11" t="s">
        <v>27</v>
      </c>
      <c r="B19" s="12" t="s">
        <v>10</v>
      </c>
      <c r="C19" s="12" t="s">
        <v>11</v>
      </c>
      <c r="D19" s="12" t="s">
        <v>28</v>
      </c>
      <c r="E19" s="12" t="s">
        <v>0</v>
      </c>
      <c r="F19" s="12" t="s">
        <v>0</v>
      </c>
      <c r="G19" s="13">
        <f t="shared" ref="G19:I22" si="15">G20</f>
        <v>7025404</v>
      </c>
      <c r="H19" s="13">
        <v>0</v>
      </c>
      <c r="I19" s="13">
        <f t="shared" si="15"/>
        <v>7025404</v>
      </c>
      <c r="J19" s="13">
        <f t="shared" ref="J19:L22" si="16">J20</f>
        <v>7278319</v>
      </c>
      <c r="K19" s="13">
        <v>0</v>
      </c>
      <c r="L19" s="13">
        <f t="shared" si="16"/>
        <v>7278319</v>
      </c>
      <c r="M19" s="13">
        <f>M20</f>
        <v>7496668</v>
      </c>
      <c r="N19" s="13">
        <v>0</v>
      </c>
      <c r="O19" s="13">
        <f>O20</f>
        <v>7496668</v>
      </c>
      <c r="P19" s="50"/>
    </row>
    <row r="20" spans="1:16" s="14" customFormat="1" x14ac:dyDescent="0.2">
      <c r="A20" s="11" t="s">
        <v>14</v>
      </c>
      <c r="B20" s="12" t="s">
        <v>10</v>
      </c>
      <c r="C20" s="12" t="s">
        <v>11</v>
      </c>
      <c r="D20" s="12" t="s">
        <v>28</v>
      </c>
      <c r="E20" s="12" t="s">
        <v>15</v>
      </c>
      <c r="F20" s="12" t="s">
        <v>0</v>
      </c>
      <c r="G20" s="13">
        <f t="shared" si="15"/>
        <v>7025404</v>
      </c>
      <c r="H20" s="13">
        <v>0</v>
      </c>
      <c r="I20" s="13">
        <f t="shared" si="15"/>
        <v>7025404</v>
      </c>
      <c r="J20" s="13">
        <f t="shared" si="16"/>
        <v>7278319</v>
      </c>
      <c r="K20" s="13">
        <v>0</v>
      </c>
      <c r="L20" s="13">
        <f t="shared" si="16"/>
        <v>7278319</v>
      </c>
      <c r="M20" s="13">
        <f>M21</f>
        <v>7496668</v>
      </c>
      <c r="N20" s="13">
        <v>0</v>
      </c>
      <c r="O20" s="13">
        <f>O21</f>
        <v>7496668</v>
      </c>
      <c r="P20" s="49"/>
    </row>
    <row r="21" spans="1:16" s="14" customFormat="1" ht="25.5" x14ac:dyDescent="0.2">
      <c r="A21" s="11" t="s">
        <v>16</v>
      </c>
      <c r="B21" s="12" t="s">
        <v>10</v>
      </c>
      <c r="C21" s="12" t="s">
        <v>11</v>
      </c>
      <c r="D21" s="12" t="s">
        <v>28</v>
      </c>
      <c r="E21" s="12" t="s">
        <v>17</v>
      </c>
      <c r="F21" s="12" t="s">
        <v>0</v>
      </c>
      <c r="G21" s="13">
        <f t="shared" si="15"/>
        <v>7025404</v>
      </c>
      <c r="H21" s="13">
        <v>0</v>
      </c>
      <c r="I21" s="13">
        <f t="shared" si="15"/>
        <v>7025404</v>
      </c>
      <c r="J21" s="13">
        <f t="shared" si="16"/>
        <v>7278319</v>
      </c>
      <c r="K21" s="13">
        <v>0</v>
      </c>
      <c r="L21" s="13">
        <f t="shared" si="16"/>
        <v>7278319</v>
      </c>
      <c r="M21" s="13">
        <f>M22</f>
        <v>7496668</v>
      </c>
      <c r="N21" s="13">
        <v>0</v>
      </c>
      <c r="O21" s="13">
        <f>O22</f>
        <v>7496668</v>
      </c>
    </row>
    <row r="22" spans="1:16" s="14" customFormat="1" ht="13.5" x14ac:dyDescent="0.2">
      <c r="A22" s="15" t="s">
        <v>29</v>
      </c>
      <c r="B22" s="16" t="s">
        <v>10</v>
      </c>
      <c r="C22" s="16" t="s">
        <v>11</v>
      </c>
      <c r="D22" s="16" t="s">
        <v>28</v>
      </c>
      <c r="E22" s="16" t="s">
        <v>30</v>
      </c>
      <c r="F22" s="16" t="s">
        <v>0</v>
      </c>
      <c r="G22" s="17">
        <f t="shared" si="15"/>
        <v>7025404</v>
      </c>
      <c r="H22" s="17">
        <v>0</v>
      </c>
      <c r="I22" s="17">
        <f t="shared" si="15"/>
        <v>7025404</v>
      </c>
      <c r="J22" s="17">
        <f t="shared" si="16"/>
        <v>7278319</v>
      </c>
      <c r="K22" s="17">
        <v>0</v>
      </c>
      <c r="L22" s="17">
        <f t="shared" si="16"/>
        <v>7278319</v>
      </c>
      <c r="M22" s="17">
        <f>M23</f>
        <v>7496668</v>
      </c>
      <c r="N22" s="17">
        <v>0</v>
      </c>
      <c r="O22" s="17">
        <f>O23</f>
        <v>7496668</v>
      </c>
    </row>
    <row r="23" spans="1:16" s="14" customFormat="1" x14ac:dyDescent="0.2">
      <c r="A23" s="18" t="s">
        <v>20</v>
      </c>
      <c r="B23" s="19" t="s">
        <v>10</v>
      </c>
      <c r="C23" s="19" t="s">
        <v>11</v>
      </c>
      <c r="D23" s="19" t="s">
        <v>28</v>
      </c>
      <c r="E23" s="19" t="s">
        <v>30</v>
      </c>
      <c r="F23" s="19" t="s">
        <v>21</v>
      </c>
      <c r="G23" s="20">
        <f>5379052+21878+1624474</f>
        <v>7025404</v>
      </c>
      <c r="H23" s="20">
        <v>0</v>
      </c>
      <c r="I23" s="20">
        <f>5379052+21878+1624474</f>
        <v>7025404</v>
      </c>
      <c r="J23" s="20">
        <f>5572698+22666+1682955</f>
        <v>7278319</v>
      </c>
      <c r="K23" s="20">
        <v>0</v>
      </c>
      <c r="L23" s="20">
        <f>5572698+22666+1682955</f>
        <v>7278319</v>
      </c>
      <c r="M23" s="20">
        <f>5739879+23346+1733443</f>
        <v>7496668</v>
      </c>
      <c r="N23" s="20">
        <v>0</v>
      </c>
      <c r="O23" s="20">
        <f>5739879+23346+1733443</f>
        <v>7496668</v>
      </c>
    </row>
    <row r="24" spans="1:16" s="14" customFormat="1" ht="38.25" x14ac:dyDescent="0.2">
      <c r="A24" s="11" t="s">
        <v>31</v>
      </c>
      <c r="B24" s="12" t="s">
        <v>10</v>
      </c>
      <c r="C24" s="12" t="s">
        <v>11</v>
      </c>
      <c r="D24" s="12" t="s">
        <v>32</v>
      </c>
      <c r="E24" s="12" t="s">
        <v>0</v>
      </c>
      <c r="F24" s="12" t="s">
        <v>0</v>
      </c>
      <c r="G24" s="13">
        <f t="shared" ref="G24:J24" si="17">G25+G30</f>
        <v>150718421.30000001</v>
      </c>
      <c r="H24" s="13">
        <f t="shared" si="17"/>
        <v>425840.63</v>
      </c>
      <c r="I24" s="13">
        <f t="shared" ref="I24" si="18">I25+I30</f>
        <v>151144261.93000001</v>
      </c>
      <c r="J24" s="13">
        <f t="shared" si="17"/>
        <v>154829738.54000002</v>
      </c>
      <c r="K24" s="13">
        <v>0</v>
      </c>
      <c r="L24" s="13">
        <f t="shared" ref="L24" si="19">L25+L30</f>
        <v>154829738.54000002</v>
      </c>
      <c r="M24" s="13">
        <f>M25+M30</f>
        <v>158167517.53999999</v>
      </c>
      <c r="N24" s="13">
        <v>0</v>
      </c>
      <c r="O24" s="13">
        <f>O25+O30</f>
        <v>158167517.53999999</v>
      </c>
    </row>
    <row r="25" spans="1:16" s="14" customFormat="1" x14ac:dyDescent="0.2">
      <c r="A25" s="11" t="s">
        <v>33</v>
      </c>
      <c r="B25" s="12" t="s">
        <v>10</v>
      </c>
      <c r="C25" s="12" t="s">
        <v>11</v>
      </c>
      <c r="D25" s="12" t="s">
        <v>32</v>
      </c>
      <c r="E25" s="12" t="s">
        <v>34</v>
      </c>
      <c r="F25" s="12" t="s">
        <v>0</v>
      </c>
      <c r="G25" s="13">
        <f t="shared" ref="G25:I26" si="20">G26</f>
        <v>998767</v>
      </c>
      <c r="H25" s="13">
        <v>0</v>
      </c>
      <c r="I25" s="13">
        <f t="shared" si="20"/>
        <v>998767</v>
      </c>
      <c r="J25" s="13">
        <f t="shared" ref="J25:L26" si="21">J26</f>
        <v>1034182</v>
      </c>
      <c r="K25" s="13">
        <v>0</v>
      </c>
      <c r="L25" s="13">
        <f t="shared" si="21"/>
        <v>1034182</v>
      </c>
      <c r="M25" s="13">
        <f>M26</f>
        <v>1028192</v>
      </c>
      <c r="N25" s="13">
        <v>0</v>
      </c>
      <c r="O25" s="13">
        <f>O26</f>
        <v>1028192</v>
      </c>
    </row>
    <row r="26" spans="1:16" s="14" customFormat="1" x14ac:dyDescent="0.2">
      <c r="A26" s="11" t="s">
        <v>35</v>
      </c>
      <c r="B26" s="12" t="s">
        <v>10</v>
      </c>
      <c r="C26" s="12" t="s">
        <v>11</v>
      </c>
      <c r="D26" s="12" t="s">
        <v>32</v>
      </c>
      <c r="E26" s="12" t="s">
        <v>36</v>
      </c>
      <c r="F26" s="12" t="s">
        <v>0</v>
      </c>
      <c r="G26" s="13">
        <f t="shared" si="20"/>
        <v>998767</v>
      </c>
      <c r="H26" s="13">
        <v>0</v>
      </c>
      <c r="I26" s="13">
        <f t="shared" si="20"/>
        <v>998767</v>
      </c>
      <c r="J26" s="13">
        <f t="shared" si="21"/>
        <v>1034182</v>
      </c>
      <c r="K26" s="13">
        <v>0</v>
      </c>
      <c r="L26" s="13">
        <f t="shared" si="21"/>
        <v>1034182</v>
      </c>
      <c r="M26" s="13">
        <f>M27</f>
        <v>1028192</v>
      </c>
      <c r="N26" s="13">
        <v>0</v>
      </c>
      <c r="O26" s="13">
        <f>O27</f>
        <v>1028192</v>
      </c>
    </row>
    <row r="27" spans="1:16" s="14" customFormat="1" ht="13.5" x14ac:dyDescent="0.2">
      <c r="A27" s="15" t="s">
        <v>37</v>
      </c>
      <c r="B27" s="16" t="s">
        <v>10</v>
      </c>
      <c r="C27" s="16" t="s">
        <v>11</v>
      </c>
      <c r="D27" s="16" t="s">
        <v>32</v>
      </c>
      <c r="E27" s="16" t="s">
        <v>38</v>
      </c>
      <c r="F27" s="16" t="s">
        <v>0</v>
      </c>
      <c r="G27" s="17">
        <f t="shared" ref="G27:J27" si="22">G28+G29</f>
        <v>998767</v>
      </c>
      <c r="H27" s="17">
        <v>0</v>
      </c>
      <c r="I27" s="17">
        <f t="shared" ref="I27" si="23">I28+I29</f>
        <v>998767</v>
      </c>
      <c r="J27" s="17">
        <f t="shared" si="22"/>
        <v>1034182</v>
      </c>
      <c r="K27" s="17">
        <v>0</v>
      </c>
      <c r="L27" s="17">
        <f t="shared" ref="L27" si="24">L28+L29</f>
        <v>1034182</v>
      </c>
      <c r="M27" s="17">
        <f>M28+M29</f>
        <v>1028192</v>
      </c>
      <c r="N27" s="17">
        <v>0</v>
      </c>
      <c r="O27" s="17">
        <f>O28+O29</f>
        <v>1028192</v>
      </c>
    </row>
    <row r="28" spans="1:16" s="14" customFormat="1" x14ac:dyDescent="0.2">
      <c r="A28" s="18" t="s">
        <v>20</v>
      </c>
      <c r="B28" s="19" t="s">
        <v>10</v>
      </c>
      <c r="C28" s="19" t="s">
        <v>11</v>
      </c>
      <c r="D28" s="19" t="s">
        <v>32</v>
      </c>
      <c r="E28" s="19" t="s">
        <v>38</v>
      </c>
      <c r="F28" s="19" t="s">
        <v>21</v>
      </c>
      <c r="G28" s="20">
        <f>31047+683548</f>
        <v>714595</v>
      </c>
      <c r="H28" s="20">
        <v>0</v>
      </c>
      <c r="I28" s="20">
        <f>31047+683548</f>
        <v>714595</v>
      </c>
      <c r="J28" s="20">
        <f>31624+708156</f>
        <v>739780</v>
      </c>
      <c r="K28" s="20">
        <v>0</v>
      </c>
      <c r="L28" s="20">
        <f>31624+708156</f>
        <v>739780</v>
      </c>
      <c r="M28" s="20">
        <f>31441+704054</f>
        <v>735495</v>
      </c>
      <c r="N28" s="20">
        <v>0</v>
      </c>
      <c r="O28" s="20">
        <f>31441+704054</f>
        <v>735495</v>
      </c>
    </row>
    <row r="29" spans="1:16" s="14" customFormat="1" x14ac:dyDescent="0.2">
      <c r="A29" s="18" t="s">
        <v>22</v>
      </c>
      <c r="B29" s="19" t="s">
        <v>10</v>
      </c>
      <c r="C29" s="19" t="s">
        <v>11</v>
      </c>
      <c r="D29" s="19" t="s">
        <v>32</v>
      </c>
      <c r="E29" s="19" t="s">
        <v>38</v>
      </c>
      <c r="F29" s="19" t="s">
        <v>23</v>
      </c>
      <c r="G29" s="20">
        <v>284172</v>
      </c>
      <c r="H29" s="20">
        <v>0</v>
      </c>
      <c r="I29" s="20">
        <v>284172</v>
      </c>
      <c r="J29" s="20">
        <v>294402</v>
      </c>
      <c r="K29" s="20">
        <v>0</v>
      </c>
      <c r="L29" s="20">
        <v>294402</v>
      </c>
      <c r="M29" s="20">
        <v>292697</v>
      </c>
      <c r="N29" s="20">
        <v>0</v>
      </c>
      <c r="O29" s="20">
        <v>292697</v>
      </c>
    </row>
    <row r="30" spans="1:16" s="14" customFormat="1" x14ac:dyDescent="0.2">
      <c r="A30" s="11" t="s">
        <v>14</v>
      </c>
      <c r="B30" s="12" t="s">
        <v>10</v>
      </c>
      <c r="C30" s="12" t="s">
        <v>11</v>
      </c>
      <c r="D30" s="12" t="s">
        <v>32</v>
      </c>
      <c r="E30" s="12" t="s">
        <v>15</v>
      </c>
      <c r="F30" s="12" t="s">
        <v>0</v>
      </c>
      <c r="G30" s="13">
        <f t="shared" ref="G30:O31" si="25">G31</f>
        <v>149719654.30000001</v>
      </c>
      <c r="H30" s="13">
        <f t="shared" si="25"/>
        <v>425840.63</v>
      </c>
      <c r="I30" s="13">
        <f t="shared" si="25"/>
        <v>150145494.93000001</v>
      </c>
      <c r="J30" s="13">
        <f t="shared" si="25"/>
        <v>153795556.54000002</v>
      </c>
      <c r="K30" s="13">
        <f t="shared" si="25"/>
        <v>0</v>
      </c>
      <c r="L30" s="13">
        <f t="shared" si="25"/>
        <v>153795556.54000002</v>
      </c>
      <c r="M30" s="13">
        <f t="shared" si="25"/>
        <v>157139325.53999999</v>
      </c>
      <c r="N30" s="13">
        <f t="shared" si="25"/>
        <v>0</v>
      </c>
      <c r="O30" s="13">
        <f t="shared" si="25"/>
        <v>157139325.53999999</v>
      </c>
    </row>
    <row r="31" spans="1:16" s="14" customFormat="1" ht="25.5" x14ac:dyDescent="0.2">
      <c r="A31" s="11" t="s">
        <v>16</v>
      </c>
      <c r="B31" s="12" t="s">
        <v>10</v>
      </c>
      <c r="C31" s="12" t="s">
        <v>11</v>
      </c>
      <c r="D31" s="12" t="s">
        <v>32</v>
      </c>
      <c r="E31" s="12" t="s">
        <v>17</v>
      </c>
      <c r="F31" s="12" t="s">
        <v>0</v>
      </c>
      <c r="G31" s="13">
        <f t="shared" si="25"/>
        <v>149719654.30000001</v>
      </c>
      <c r="H31" s="13">
        <f t="shared" si="25"/>
        <v>425840.63</v>
      </c>
      <c r="I31" s="13">
        <f t="shared" si="25"/>
        <v>150145494.93000001</v>
      </c>
      <c r="J31" s="13">
        <f t="shared" si="25"/>
        <v>153795556.54000002</v>
      </c>
      <c r="K31" s="13">
        <f t="shared" si="25"/>
        <v>0</v>
      </c>
      <c r="L31" s="13">
        <f t="shared" si="25"/>
        <v>153795556.54000002</v>
      </c>
      <c r="M31" s="13">
        <f t="shared" si="25"/>
        <v>157139325.53999999</v>
      </c>
      <c r="N31" s="13">
        <f t="shared" si="25"/>
        <v>0</v>
      </c>
      <c r="O31" s="13">
        <f t="shared" si="25"/>
        <v>157139325.53999999</v>
      </c>
    </row>
    <row r="32" spans="1:16" s="14" customFormat="1" ht="13.5" x14ac:dyDescent="0.2">
      <c r="A32" s="15" t="s">
        <v>18</v>
      </c>
      <c r="B32" s="16" t="s">
        <v>10</v>
      </c>
      <c r="C32" s="16" t="s">
        <v>11</v>
      </c>
      <c r="D32" s="16" t="s">
        <v>32</v>
      </c>
      <c r="E32" s="16" t="s">
        <v>19</v>
      </c>
      <c r="F32" s="16" t="s">
        <v>0</v>
      </c>
      <c r="G32" s="17">
        <f t="shared" ref="G32:H32" si="26">G33+G34+G35+G36</f>
        <v>149719654.30000001</v>
      </c>
      <c r="H32" s="17">
        <f t="shared" si="26"/>
        <v>425840.63</v>
      </c>
      <c r="I32" s="17">
        <f t="shared" ref="I32:O32" si="27">I33+I34+I35+I36</f>
        <v>150145494.93000001</v>
      </c>
      <c r="J32" s="17">
        <f t="shared" si="27"/>
        <v>153795556.54000002</v>
      </c>
      <c r="K32" s="17">
        <f t="shared" si="27"/>
        <v>0</v>
      </c>
      <c r="L32" s="17">
        <f t="shared" si="27"/>
        <v>153795556.54000002</v>
      </c>
      <c r="M32" s="17">
        <f t="shared" si="27"/>
        <v>157139325.53999999</v>
      </c>
      <c r="N32" s="17">
        <f t="shared" si="27"/>
        <v>0</v>
      </c>
      <c r="O32" s="17">
        <f t="shared" si="27"/>
        <v>157139325.53999999</v>
      </c>
    </row>
    <row r="33" spans="1:15" s="14" customFormat="1" x14ac:dyDescent="0.2">
      <c r="A33" s="18" t="s">
        <v>20</v>
      </c>
      <c r="B33" s="19" t="s">
        <v>10</v>
      </c>
      <c r="C33" s="19" t="s">
        <v>11</v>
      </c>
      <c r="D33" s="19" t="s">
        <v>32</v>
      </c>
      <c r="E33" s="19" t="s">
        <v>19</v>
      </c>
      <c r="F33" s="19" t="s">
        <v>21</v>
      </c>
      <c r="G33" s="20">
        <f>125855775-0.46</f>
        <v>125855774.54000001</v>
      </c>
      <c r="H33" s="20">
        <v>0</v>
      </c>
      <c r="I33" s="20">
        <f>G33+H33</f>
        <v>125855774.54000001</v>
      </c>
      <c r="J33" s="20">
        <f>130311773-0.46</f>
        <v>130311772.54000001</v>
      </c>
      <c r="K33" s="20">
        <v>0</v>
      </c>
      <c r="L33" s="20">
        <f>J33+K33</f>
        <v>130311772.54000001</v>
      </c>
      <c r="M33" s="20">
        <f>134220961-0.46</f>
        <v>134220960.53999999</v>
      </c>
      <c r="N33" s="20">
        <v>0</v>
      </c>
      <c r="O33" s="20">
        <f>M33+N33</f>
        <v>134220960.53999999</v>
      </c>
    </row>
    <row r="34" spans="1:15" s="14" customFormat="1" ht="12.75" customHeight="1" x14ac:dyDescent="0.2">
      <c r="A34" s="18" t="s">
        <v>22</v>
      </c>
      <c r="B34" s="19" t="s">
        <v>10</v>
      </c>
      <c r="C34" s="19" t="s">
        <v>11</v>
      </c>
      <c r="D34" s="19" t="s">
        <v>32</v>
      </c>
      <c r="E34" s="19" t="s">
        <v>19</v>
      </c>
      <c r="F34" s="19" t="s">
        <v>23</v>
      </c>
      <c r="G34" s="20">
        <v>23014254.760000002</v>
      </c>
      <c r="H34" s="20">
        <v>425840.63</v>
      </c>
      <c r="I34" s="20">
        <f>G34+H34</f>
        <v>23440095.390000001</v>
      </c>
      <c r="J34" s="20">
        <v>22634159</v>
      </c>
      <c r="K34" s="20">
        <v>0</v>
      </c>
      <c r="L34" s="20">
        <f>J34+K34</f>
        <v>22634159</v>
      </c>
      <c r="M34" s="20">
        <v>22068740</v>
      </c>
      <c r="N34" s="20">
        <v>0</v>
      </c>
      <c r="O34" s="20">
        <f>M34+N34</f>
        <v>22068740</v>
      </c>
    </row>
    <row r="35" spans="1:15" s="14" customFormat="1" ht="12.75" hidden="1" customHeight="1" outlineLevel="1" x14ac:dyDescent="0.2">
      <c r="A35" s="6" t="s">
        <v>271</v>
      </c>
      <c r="B35" s="19" t="s">
        <v>10</v>
      </c>
      <c r="C35" s="19" t="s">
        <v>11</v>
      </c>
      <c r="D35" s="19" t="s">
        <v>32</v>
      </c>
      <c r="E35" s="19" t="s">
        <v>19</v>
      </c>
      <c r="F35" s="19" t="s">
        <v>39</v>
      </c>
      <c r="G35" s="20">
        <v>0</v>
      </c>
      <c r="H35" s="20"/>
      <c r="I35" s="20">
        <f t="shared" ref="I35:I36" si="28">G35+H35</f>
        <v>0</v>
      </c>
      <c r="J35" s="20">
        <v>0</v>
      </c>
      <c r="K35" s="20"/>
      <c r="L35" s="20">
        <f t="shared" ref="L35:L36" si="29">J35+K35</f>
        <v>0</v>
      </c>
      <c r="M35" s="20">
        <v>0</v>
      </c>
      <c r="N35" s="20"/>
      <c r="O35" s="20">
        <f t="shared" ref="O35:O36" si="30">M35+N35</f>
        <v>0</v>
      </c>
    </row>
    <row r="36" spans="1:15" s="14" customFormat="1" collapsed="1" x14ac:dyDescent="0.2">
      <c r="A36" s="18" t="s">
        <v>40</v>
      </c>
      <c r="B36" s="19" t="s">
        <v>10</v>
      </c>
      <c r="C36" s="19" t="s">
        <v>11</v>
      </c>
      <c r="D36" s="19" t="s">
        <v>32</v>
      </c>
      <c r="E36" s="19" t="s">
        <v>19</v>
      </c>
      <c r="F36" s="19" t="s">
        <v>41</v>
      </c>
      <c r="G36" s="20">
        <v>849625</v>
      </c>
      <c r="H36" s="20">
        <v>0</v>
      </c>
      <c r="I36" s="20">
        <f t="shared" si="28"/>
        <v>849625</v>
      </c>
      <c r="J36" s="20">
        <v>849625</v>
      </c>
      <c r="K36" s="20">
        <v>0</v>
      </c>
      <c r="L36" s="20">
        <f t="shared" si="29"/>
        <v>849625</v>
      </c>
      <c r="M36" s="20">
        <v>849625</v>
      </c>
      <c r="N36" s="20">
        <v>0</v>
      </c>
      <c r="O36" s="20">
        <f t="shared" si="30"/>
        <v>849625</v>
      </c>
    </row>
    <row r="37" spans="1:15" s="14" customFormat="1" x14ac:dyDescent="0.2">
      <c r="A37" s="11" t="s">
        <v>42</v>
      </c>
      <c r="B37" s="12" t="s">
        <v>10</v>
      </c>
      <c r="C37" s="12" t="s">
        <v>11</v>
      </c>
      <c r="D37" s="12" t="s">
        <v>43</v>
      </c>
      <c r="E37" s="12" t="s">
        <v>0</v>
      </c>
      <c r="F37" s="12" t="s">
        <v>0</v>
      </c>
      <c r="G37" s="13">
        <f t="shared" ref="G37:G38" si="31">G38</f>
        <v>2500000</v>
      </c>
      <c r="H37" s="13">
        <v>0</v>
      </c>
      <c r="I37" s="13">
        <f t="shared" ref="I37:I38" si="32">I38</f>
        <v>2500000</v>
      </c>
      <c r="J37" s="13">
        <f t="shared" ref="J37:L38" si="33">J38</f>
        <v>2500000</v>
      </c>
      <c r="K37" s="13">
        <v>0</v>
      </c>
      <c r="L37" s="13">
        <f t="shared" si="33"/>
        <v>2500000</v>
      </c>
      <c r="M37" s="13">
        <f>M38</f>
        <v>2500000</v>
      </c>
      <c r="N37" s="13">
        <v>0</v>
      </c>
      <c r="O37" s="13">
        <f>O38</f>
        <v>2500000</v>
      </c>
    </row>
    <row r="38" spans="1:15" s="14" customFormat="1" x14ac:dyDescent="0.2">
      <c r="A38" s="11" t="s">
        <v>14</v>
      </c>
      <c r="B38" s="12" t="s">
        <v>10</v>
      </c>
      <c r="C38" s="12" t="s">
        <v>11</v>
      </c>
      <c r="D38" s="12" t="s">
        <v>43</v>
      </c>
      <c r="E38" s="12" t="s">
        <v>15</v>
      </c>
      <c r="F38" s="12" t="s">
        <v>0</v>
      </c>
      <c r="G38" s="13">
        <f t="shared" si="31"/>
        <v>2500000</v>
      </c>
      <c r="H38" s="13">
        <v>0</v>
      </c>
      <c r="I38" s="13">
        <f t="shared" si="32"/>
        <v>2500000</v>
      </c>
      <c r="J38" s="13">
        <f t="shared" si="33"/>
        <v>2500000</v>
      </c>
      <c r="K38" s="13">
        <v>0</v>
      </c>
      <c r="L38" s="13">
        <f t="shared" si="33"/>
        <v>2500000</v>
      </c>
      <c r="M38" s="13">
        <f>M39</f>
        <v>2500000</v>
      </c>
      <c r="N38" s="13">
        <v>0</v>
      </c>
      <c r="O38" s="13">
        <f>O39</f>
        <v>2500000</v>
      </c>
    </row>
    <row r="39" spans="1:15" s="14" customFormat="1" x14ac:dyDescent="0.2">
      <c r="A39" s="11" t="s">
        <v>44</v>
      </c>
      <c r="B39" s="12" t="s">
        <v>10</v>
      </c>
      <c r="C39" s="12" t="s">
        <v>11</v>
      </c>
      <c r="D39" s="12" t="s">
        <v>43</v>
      </c>
      <c r="E39" s="12" t="s">
        <v>45</v>
      </c>
      <c r="F39" s="12" t="s">
        <v>0</v>
      </c>
      <c r="G39" s="13">
        <f t="shared" ref="G39:J39" si="34">G40+G42</f>
        <v>2500000</v>
      </c>
      <c r="H39" s="13">
        <v>0</v>
      </c>
      <c r="I39" s="13">
        <f>I40+I42</f>
        <v>2500000</v>
      </c>
      <c r="J39" s="13">
        <f t="shared" si="34"/>
        <v>2500000</v>
      </c>
      <c r="K39" s="13">
        <v>0</v>
      </c>
      <c r="L39" s="13">
        <f t="shared" ref="L39" si="35">L40+L42</f>
        <v>2500000</v>
      </c>
      <c r="M39" s="13">
        <f>M40+M42</f>
        <v>2500000</v>
      </c>
      <c r="N39" s="13">
        <v>0</v>
      </c>
      <c r="O39" s="13">
        <f>O40+O42</f>
        <v>2500000</v>
      </c>
    </row>
    <row r="40" spans="1:15" s="14" customFormat="1" ht="13.5" x14ac:dyDescent="0.2">
      <c r="A40" s="15" t="s">
        <v>46</v>
      </c>
      <c r="B40" s="16" t="s">
        <v>10</v>
      </c>
      <c r="C40" s="16" t="s">
        <v>11</v>
      </c>
      <c r="D40" s="16" t="s">
        <v>43</v>
      </c>
      <c r="E40" s="16" t="s">
        <v>47</v>
      </c>
      <c r="F40" s="16" t="s">
        <v>0</v>
      </c>
      <c r="G40" s="17">
        <f t="shared" ref="G40:L40" si="36">G41</f>
        <v>1000000</v>
      </c>
      <c r="H40" s="17">
        <v>0</v>
      </c>
      <c r="I40" s="17">
        <f>I41</f>
        <v>1000000</v>
      </c>
      <c r="J40" s="17">
        <f t="shared" si="36"/>
        <v>1000000</v>
      </c>
      <c r="K40" s="17">
        <v>0</v>
      </c>
      <c r="L40" s="17">
        <f t="shared" si="36"/>
        <v>1000000</v>
      </c>
      <c r="M40" s="17">
        <f>M41</f>
        <v>1000000</v>
      </c>
      <c r="N40" s="17">
        <v>0</v>
      </c>
      <c r="O40" s="17">
        <f>O41</f>
        <v>1000000</v>
      </c>
    </row>
    <row r="41" spans="1:15" s="14" customFormat="1" x14ac:dyDescent="0.2">
      <c r="A41" s="18" t="s">
        <v>40</v>
      </c>
      <c r="B41" s="19" t="s">
        <v>10</v>
      </c>
      <c r="C41" s="19" t="s">
        <v>11</v>
      </c>
      <c r="D41" s="19" t="s">
        <v>43</v>
      </c>
      <c r="E41" s="19" t="s">
        <v>47</v>
      </c>
      <c r="F41" s="19" t="s">
        <v>41</v>
      </c>
      <c r="G41" s="20">
        <v>1000000</v>
      </c>
      <c r="H41" s="20">
        <v>0</v>
      </c>
      <c r="I41" s="57">
        <f>G41+H41</f>
        <v>1000000</v>
      </c>
      <c r="J41" s="20">
        <v>1000000</v>
      </c>
      <c r="K41" s="20">
        <v>0</v>
      </c>
      <c r="L41" s="20">
        <v>1000000</v>
      </c>
      <c r="M41" s="20">
        <v>1000000</v>
      </c>
      <c r="N41" s="20">
        <v>0</v>
      </c>
      <c r="O41" s="20">
        <v>1000000</v>
      </c>
    </row>
    <row r="42" spans="1:15" s="14" customFormat="1" ht="27" x14ac:dyDescent="0.2">
      <c r="A42" s="15" t="s">
        <v>48</v>
      </c>
      <c r="B42" s="16" t="s">
        <v>10</v>
      </c>
      <c r="C42" s="16" t="s">
        <v>11</v>
      </c>
      <c r="D42" s="16" t="s">
        <v>43</v>
      </c>
      <c r="E42" s="16" t="s">
        <v>49</v>
      </c>
      <c r="F42" s="16" t="s">
        <v>0</v>
      </c>
      <c r="G42" s="17">
        <f t="shared" ref="G42:L42" si="37">G43</f>
        <v>1500000</v>
      </c>
      <c r="H42" s="17">
        <v>0</v>
      </c>
      <c r="I42" s="17">
        <f t="shared" si="37"/>
        <v>1500000</v>
      </c>
      <c r="J42" s="17">
        <f t="shared" si="37"/>
        <v>1500000</v>
      </c>
      <c r="K42" s="17">
        <v>0</v>
      </c>
      <c r="L42" s="17">
        <f t="shared" si="37"/>
        <v>1500000</v>
      </c>
      <c r="M42" s="17">
        <f>M43</f>
        <v>1500000</v>
      </c>
      <c r="N42" s="17">
        <v>0</v>
      </c>
      <c r="O42" s="17">
        <f>O43</f>
        <v>1500000</v>
      </c>
    </row>
    <row r="43" spans="1:15" s="14" customFormat="1" x14ac:dyDescent="0.2">
      <c r="A43" s="18" t="s">
        <v>40</v>
      </c>
      <c r="B43" s="19" t="s">
        <v>10</v>
      </c>
      <c r="C43" s="19" t="s">
        <v>11</v>
      </c>
      <c r="D43" s="19" t="s">
        <v>43</v>
      </c>
      <c r="E43" s="19" t="s">
        <v>49</v>
      </c>
      <c r="F43" s="19" t="s">
        <v>41</v>
      </c>
      <c r="G43" s="20">
        <v>1500000</v>
      </c>
      <c r="H43" s="20">
        <v>0</v>
      </c>
      <c r="I43" s="20">
        <v>1500000</v>
      </c>
      <c r="J43" s="20">
        <v>1500000</v>
      </c>
      <c r="K43" s="20">
        <v>0</v>
      </c>
      <c r="L43" s="20">
        <v>1500000</v>
      </c>
      <c r="M43" s="20">
        <v>1500000</v>
      </c>
      <c r="N43" s="20">
        <v>0</v>
      </c>
      <c r="O43" s="20">
        <v>1500000</v>
      </c>
    </row>
    <row r="44" spans="1:15" s="2" customFormat="1" x14ac:dyDescent="0.2">
      <c r="A44" s="11" t="s">
        <v>50</v>
      </c>
      <c r="B44" s="12" t="s">
        <v>10</v>
      </c>
      <c r="C44" s="12" t="s">
        <v>11</v>
      </c>
      <c r="D44" s="12" t="s">
        <v>51</v>
      </c>
      <c r="E44" s="12" t="s">
        <v>0</v>
      </c>
      <c r="F44" s="12" t="s">
        <v>0</v>
      </c>
      <c r="G44" s="13">
        <f>G45+G59</f>
        <v>17782145</v>
      </c>
      <c r="H44" s="13">
        <f>H45+H59</f>
        <v>1398083</v>
      </c>
      <c r="I44" s="13">
        <f>I45+I59</f>
        <v>19180228</v>
      </c>
      <c r="J44" s="13">
        <f t="shared" ref="J44:L44" si="38">J45+J59</f>
        <v>32027605.530000001</v>
      </c>
      <c r="K44" s="13">
        <v>0</v>
      </c>
      <c r="L44" s="13">
        <f t="shared" si="38"/>
        <v>32027605.530000001</v>
      </c>
      <c r="M44" s="13">
        <f>M45+M59</f>
        <v>49105445.159999996</v>
      </c>
      <c r="N44" s="13">
        <v>0</v>
      </c>
      <c r="O44" s="13">
        <f>O45+O59</f>
        <v>49105445.159999996</v>
      </c>
    </row>
    <row r="45" spans="1:15" s="2" customFormat="1" x14ac:dyDescent="0.2">
      <c r="A45" s="11" t="s">
        <v>52</v>
      </c>
      <c r="B45" s="12" t="s">
        <v>10</v>
      </c>
      <c r="C45" s="12" t="s">
        <v>11</v>
      </c>
      <c r="D45" s="12" t="s">
        <v>51</v>
      </c>
      <c r="E45" s="12" t="s">
        <v>53</v>
      </c>
      <c r="F45" s="12" t="s">
        <v>0</v>
      </c>
      <c r="G45" s="13">
        <f t="shared" ref="G45:J45" si="39">G46+G56</f>
        <v>5835086</v>
      </c>
      <c r="H45" s="13">
        <f>H46+H56</f>
        <v>1398083</v>
      </c>
      <c r="I45" s="13">
        <f t="shared" si="39"/>
        <v>7233169</v>
      </c>
      <c r="J45" s="13">
        <f t="shared" si="39"/>
        <v>7022497</v>
      </c>
      <c r="K45" s="13">
        <v>0</v>
      </c>
      <c r="L45" s="13">
        <f t="shared" ref="L45" si="40">L46+L56</f>
        <v>7022497</v>
      </c>
      <c r="M45" s="13">
        <f>M46+M56</f>
        <v>7233172</v>
      </c>
      <c r="N45" s="13">
        <v>0</v>
      </c>
      <c r="O45" s="13">
        <f>O46+O56</f>
        <v>7233172</v>
      </c>
    </row>
    <row r="46" spans="1:15" s="2" customFormat="1" x14ac:dyDescent="0.2">
      <c r="A46" s="11" t="s">
        <v>54</v>
      </c>
      <c r="B46" s="12" t="s">
        <v>10</v>
      </c>
      <c r="C46" s="12" t="s">
        <v>11</v>
      </c>
      <c r="D46" s="12" t="s">
        <v>51</v>
      </c>
      <c r="E46" s="12" t="s">
        <v>55</v>
      </c>
      <c r="F46" s="12" t="s">
        <v>0</v>
      </c>
      <c r="G46" s="13">
        <f>G47+G49+G51+G53</f>
        <v>5424644</v>
      </c>
      <c r="H46" s="13">
        <f t="shared" ref="H46:J46" si="41">H47+H49+H51+H53</f>
        <v>770000</v>
      </c>
      <c r="I46" s="13">
        <f>I47+I49+I51+I53</f>
        <v>6194644</v>
      </c>
      <c r="J46" s="13">
        <f t="shared" si="41"/>
        <v>5132587</v>
      </c>
      <c r="K46" s="13">
        <v>0</v>
      </c>
      <c r="L46" s="13">
        <f t="shared" ref="L46" si="42">L47+L49+L51+L53</f>
        <v>5132587</v>
      </c>
      <c r="M46" s="13">
        <f>M47+M49+M51+M53</f>
        <v>5286564</v>
      </c>
      <c r="N46" s="13">
        <v>0</v>
      </c>
      <c r="O46" s="13">
        <f>O47+O49+O51+O53</f>
        <v>5286564</v>
      </c>
    </row>
    <row r="47" spans="1:15" s="2" customFormat="1" ht="13.5" x14ac:dyDescent="0.2">
      <c r="A47" s="15" t="s">
        <v>56</v>
      </c>
      <c r="B47" s="16" t="s">
        <v>10</v>
      </c>
      <c r="C47" s="16" t="s">
        <v>11</v>
      </c>
      <c r="D47" s="16" t="s">
        <v>51</v>
      </c>
      <c r="E47" s="16" t="s">
        <v>57</v>
      </c>
      <c r="F47" s="16" t="s">
        <v>0</v>
      </c>
      <c r="G47" s="17">
        <f t="shared" ref="G47:L47" si="43">G48</f>
        <v>256042</v>
      </c>
      <c r="H47" s="13">
        <f>H48</f>
        <v>750000</v>
      </c>
      <c r="I47" s="17">
        <f t="shared" si="43"/>
        <v>1006042</v>
      </c>
      <c r="J47" s="17">
        <f t="shared" si="43"/>
        <v>266797</v>
      </c>
      <c r="K47" s="17">
        <v>0</v>
      </c>
      <c r="L47" s="17">
        <f t="shared" si="43"/>
        <v>266797</v>
      </c>
      <c r="M47" s="17">
        <f>M48</f>
        <v>274801</v>
      </c>
      <c r="N47" s="17">
        <v>0</v>
      </c>
      <c r="O47" s="17">
        <f>O48</f>
        <v>274801</v>
      </c>
    </row>
    <row r="48" spans="1:15" s="2" customFormat="1" x14ac:dyDescent="0.2">
      <c r="A48" s="18" t="s">
        <v>22</v>
      </c>
      <c r="B48" s="19" t="s">
        <v>10</v>
      </c>
      <c r="C48" s="19" t="s">
        <v>11</v>
      </c>
      <c r="D48" s="19" t="s">
        <v>51</v>
      </c>
      <c r="E48" s="19" t="s">
        <v>57</v>
      </c>
      <c r="F48" s="19" t="s">
        <v>23</v>
      </c>
      <c r="G48" s="20">
        <v>256042</v>
      </c>
      <c r="H48" s="20">
        <v>750000</v>
      </c>
      <c r="I48" s="20">
        <f>G48+H48</f>
        <v>1006042</v>
      </c>
      <c r="J48" s="20">
        <v>266797</v>
      </c>
      <c r="K48" s="20">
        <v>0</v>
      </c>
      <c r="L48" s="20">
        <v>266797</v>
      </c>
      <c r="M48" s="20">
        <v>274801</v>
      </c>
      <c r="N48" s="20">
        <v>0</v>
      </c>
      <c r="O48" s="20">
        <v>274801</v>
      </c>
    </row>
    <row r="49" spans="1:15" s="2" customFormat="1" ht="13.5" x14ac:dyDescent="0.2">
      <c r="A49" s="15" t="s">
        <v>58</v>
      </c>
      <c r="B49" s="16" t="s">
        <v>10</v>
      </c>
      <c r="C49" s="16" t="s">
        <v>11</v>
      </c>
      <c r="D49" s="16" t="s">
        <v>51</v>
      </c>
      <c r="E49" s="16" t="s">
        <v>59</v>
      </c>
      <c r="F49" s="16" t="s">
        <v>0</v>
      </c>
      <c r="G49" s="17">
        <f t="shared" ref="G49:L49" si="44">G50</f>
        <v>248947</v>
      </c>
      <c r="H49" s="17">
        <v>0</v>
      </c>
      <c r="I49" s="17">
        <f t="shared" si="44"/>
        <v>248947</v>
      </c>
      <c r="J49" s="17">
        <f t="shared" si="44"/>
        <v>259403</v>
      </c>
      <c r="K49" s="17">
        <v>0</v>
      </c>
      <c r="L49" s="17">
        <f t="shared" si="44"/>
        <v>259403</v>
      </c>
      <c r="M49" s="17">
        <f>M50</f>
        <v>267185</v>
      </c>
      <c r="N49" s="17">
        <v>0</v>
      </c>
      <c r="O49" s="17">
        <f>O50</f>
        <v>267185</v>
      </c>
    </row>
    <row r="50" spans="1:15" s="2" customFormat="1" x14ac:dyDescent="0.2">
      <c r="A50" s="18" t="s">
        <v>22</v>
      </c>
      <c r="B50" s="19" t="s">
        <v>10</v>
      </c>
      <c r="C50" s="19" t="s">
        <v>11</v>
      </c>
      <c r="D50" s="19" t="s">
        <v>51</v>
      </c>
      <c r="E50" s="19" t="s">
        <v>59</v>
      </c>
      <c r="F50" s="19" t="s">
        <v>23</v>
      </c>
      <c r="G50" s="20">
        <v>248947</v>
      </c>
      <c r="H50" s="20">
        <v>0</v>
      </c>
      <c r="I50" s="20">
        <v>248947</v>
      </c>
      <c r="J50" s="20">
        <v>259403</v>
      </c>
      <c r="K50" s="20">
        <v>0</v>
      </c>
      <c r="L50" s="20">
        <v>259403</v>
      </c>
      <c r="M50" s="20">
        <v>267185</v>
      </c>
      <c r="N50" s="20">
        <v>0</v>
      </c>
      <c r="O50" s="20">
        <v>267185</v>
      </c>
    </row>
    <row r="51" spans="1:15" s="2" customFormat="1" ht="13.5" x14ac:dyDescent="0.2">
      <c r="A51" s="15" t="s">
        <v>60</v>
      </c>
      <c r="B51" s="16" t="s">
        <v>10</v>
      </c>
      <c r="C51" s="16" t="s">
        <v>11</v>
      </c>
      <c r="D51" s="16" t="s">
        <v>51</v>
      </c>
      <c r="E51" s="16" t="s">
        <v>61</v>
      </c>
      <c r="F51" s="16" t="s">
        <v>0</v>
      </c>
      <c r="G51" s="17">
        <f t="shared" ref="G51:L51" si="45">G52</f>
        <v>2662319</v>
      </c>
      <c r="H51" s="17">
        <v>0</v>
      </c>
      <c r="I51" s="17">
        <f t="shared" si="45"/>
        <v>2662319</v>
      </c>
      <c r="J51" s="17">
        <f t="shared" si="45"/>
        <v>2319271</v>
      </c>
      <c r="K51" s="17">
        <v>0</v>
      </c>
      <c r="L51" s="17">
        <f t="shared" si="45"/>
        <v>2319271</v>
      </c>
      <c r="M51" s="17">
        <f>M52</f>
        <v>2388849</v>
      </c>
      <c r="N51" s="17">
        <v>0</v>
      </c>
      <c r="O51" s="17">
        <f>O52</f>
        <v>2388849</v>
      </c>
    </row>
    <row r="52" spans="1:15" s="2" customFormat="1" x14ac:dyDescent="0.2">
      <c r="A52" s="18" t="s">
        <v>22</v>
      </c>
      <c r="B52" s="19" t="s">
        <v>10</v>
      </c>
      <c r="C52" s="19" t="s">
        <v>11</v>
      </c>
      <c r="D52" s="19" t="s">
        <v>51</v>
      </c>
      <c r="E52" s="19" t="s">
        <v>61</v>
      </c>
      <c r="F52" s="19" t="s">
        <v>23</v>
      </c>
      <c r="G52" s="20">
        <v>2662319</v>
      </c>
      <c r="H52" s="20">
        <v>0</v>
      </c>
      <c r="I52" s="20">
        <v>2662319</v>
      </c>
      <c r="J52" s="20">
        <v>2319271</v>
      </c>
      <c r="K52" s="20">
        <v>0</v>
      </c>
      <c r="L52" s="20">
        <v>2319271</v>
      </c>
      <c r="M52" s="20">
        <v>2388849</v>
      </c>
      <c r="N52" s="20">
        <v>0</v>
      </c>
      <c r="O52" s="20">
        <v>2388849</v>
      </c>
    </row>
    <row r="53" spans="1:15" s="2" customFormat="1" ht="13.5" x14ac:dyDescent="0.2">
      <c r="A53" s="15" t="s">
        <v>62</v>
      </c>
      <c r="B53" s="16" t="s">
        <v>10</v>
      </c>
      <c r="C53" s="16" t="s">
        <v>11</v>
      </c>
      <c r="D53" s="16" t="s">
        <v>51</v>
      </c>
      <c r="E53" s="16" t="s">
        <v>63</v>
      </c>
      <c r="F53" s="16" t="s">
        <v>0</v>
      </c>
      <c r="G53" s="17">
        <f t="shared" ref="G53:J53" si="46">G54+G55</f>
        <v>2257336</v>
      </c>
      <c r="H53" s="17">
        <f>H54</f>
        <v>20000</v>
      </c>
      <c r="I53" s="17">
        <f t="shared" si="46"/>
        <v>2277336</v>
      </c>
      <c r="J53" s="17">
        <f t="shared" si="46"/>
        <v>2287116</v>
      </c>
      <c r="K53" s="17">
        <v>0</v>
      </c>
      <c r="L53" s="17">
        <f t="shared" ref="L53" si="47">L54+L55</f>
        <v>2287116</v>
      </c>
      <c r="M53" s="17">
        <f>M54+M55</f>
        <v>2355729</v>
      </c>
      <c r="N53" s="17">
        <v>0</v>
      </c>
      <c r="O53" s="17">
        <f>O54+O55</f>
        <v>2355729</v>
      </c>
    </row>
    <row r="54" spans="1:15" s="2" customFormat="1" ht="11.25" customHeight="1" x14ac:dyDescent="0.2">
      <c r="A54" s="18" t="s">
        <v>22</v>
      </c>
      <c r="B54" s="19" t="s">
        <v>10</v>
      </c>
      <c r="C54" s="19" t="s">
        <v>11</v>
      </c>
      <c r="D54" s="19" t="s">
        <v>51</v>
      </c>
      <c r="E54" s="19" t="s">
        <v>63</v>
      </c>
      <c r="F54" s="19" t="s">
        <v>23</v>
      </c>
      <c r="G54" s="20">
        <f>40000+1857336+360000</f>
        <v>2257336</v>
      </c>
      <c r="H54" s="20">
        <v>20000</v>
      </c>
      <c r="I54" s="20">
        <f>G54+H54</f>
        <v>2277336</v>
      </c>
      <c r="J54" s="20">
        <f>40000+1887116+360000</f>
        <v>2287116</v>
      </c>
      <c r="K54" s="20">
        <v>0</v>
      </c>
      <c r="L54" s="20">
        <f>40000+1887116+360000</f>
        <v>2287116</v>
      </c>
      <c r="M54" s="20">
        <f>40000+1945729+370000</f>
        <v>2355729</v>
      </c>
      <c r="N54" s="20">
        <v>0</v>
      </c>
      <c r="O54" s="20">
        <f>40000+1945729+370000</f>
        <v>2355729</v>
      </c>
    </row>
    <row r="55" spans="1:15" s="8" customFormat="1" ht="13.5" hidden="1" customHeight="1" outlineLevel="1" x14ac:dyDescent="0.2">
      <c r="A55" s="58" t="s">
        <v>40</v>
      </c>
      <c r="B55" s="44" t="s">
        <v>10</v>
      </c>
      <c r="C55" s="44" t="s">
        <v>11</v>
      </c>
      <c r="D55" s="44" t="s">
        <v>51</v>
      </c>
      <c r="E55" s="44" t="s">
        <v>63</v>
      </c>
      <c r="F55" s="44" t="s">
        <v>41</v>
      </c>
      <c r="G55" s="20">
        <v>0</v>
      </c>
      <c r="H55" s="20"/>
      <c r="I55" s="20"/>
      <c r="J55" s="20">
        <v>0</v>
      </c>
      <c r="K55" s="20"/>
      <c r="L55" s="20">
        <v>0</v>
      </c>
      <c r="M55" s="20">
        <v>0</v>
      </c>
      <c r="N55" s="20"/>
      <c r="O55" s="20">
        <v>0</v>
      </c>
    </row>
    <row r="56" spans="1:15" s="2" customFormat="1" collapsed="1" x14ac:dyDescent="0.2">
      <c r="A56" s="11" t="s">
        <v>64</v>
      </c>
      <c r="B56" s="12" t="s">
        <v>10</v>
      </c>
      <c r="C56" s="12" t="s">
        <v>11</v>
      </c>
      <c r="D56" s="12" t="s">
        <v>51</v>
      </c>
      <c r="E56" s="12" t="s">
        <v>65</v>
      </c>
      <c r="F56" s="12" t="s">
        <v>0</v>
      </c>
      <c r="G56" s="13">
        <f t="shared" ref="G56:I56" si="48">G57</f>
        <v>410442</v>
      </c>
      <c r="H56" s="13">
        <f t="shared" si="48"/>
        <v>628083</v>
      </c>
      <c r="I56" s="13">
        <f t="shared" si="48"/>
        <v>1038525</v>
      </c>
      <c r="J56" s="13">
        <f t="shared" ref="J56:L57" si="49">J57</f>
        <v>1889910</v>
      </c>
      <c r="K56" s="13">
        <v>0</v>
      </c>
      <c r="L56" s="13">
        <f t="shared" si="49"/>
        <v>1889910</v>
      </c>
      <c r="M56" s="13">
        <f>M57</f>
        <v>1946608</v>
      </c>
      <c r="N56" s="13">
        <v>0</v>
      </c>
      <c r="O56" s="13">
        <f>O57</f>
        <v>1946608</v>
      </c>
    </row>
    <row r="57" spans="1:15" s="2" customFormat="1" ht="27" x14ac:dyDescent="0.2">
      <c r="A57" s="15" t="s">
        <v>66</v>
      </c>
      <c r="B57" s="16" t="s">
        <v>10</v>
      </c>
      <c r="C57" s="16" t="s">
        <v>11</v>
      </c>
      <c r="D57" s="16" t="s">
        <v>51</v>
      </c>
      <c r="E57" s="16" t="s">
        <v>67</v>
      </c>
      <c r="F57" s="16" t="s">
        <v>0</v>
      </c>
      <c r="G57" s="17">
        <f>G58</f>
        <v>410442</v>
      </c>
      <c r="H57" s="17">
        <f>H58</f>
        <v>628083</v>
      </c>
      <c r="I57" s="17">
        <f>I58</f>
        <v>1038525</v>
      </c>
      <c r="J57" s="17">
        <f t="shared" si="49"/>
        <v>1889910</v>
      </c>
      <c r="K57" s="17">
        <v>0</v>
      </c>
      <c r="L57" s="17">
        <f t="shared" si="49"/>
        <v>1889910</v>
      </c>
      <c r="M57" s="17">
        <f>M58</f>
        <v>1946608</v>
      </c>
      <c r="N57" s="17">
        <v>0</v>
      </c>
      <c r="O57" s="17">
        <f>O58</f>
        <v>1946608</v>
      </c>
    </row>
    <row r="58" spans="1:15" s="2" customFormat="1" x14ac:dyDescent="0.2">
      <c r="A58" s="18" t="s">
        <v>22</v>
      </c>
      <c r="B58" s="19" t="s">
        <v>10</v>
      </c>
      <c r="C58" s="19" t="s">
        <v>11</v>
      </c>
      <c r="D58" s="19" t="s">
        <v>51</v>
      </c>
      <c r="E58" s="19" t="s">
        <v>67</v>
      </c>
      <c r="F58" s="19" t="s">
        <v>23</v>
      </c>
      <c r="G58" s="20">
        <f>1808526-1398084</f>
        <v>410442</v>
      </c>
      <c r="H58" s="20">
        <v>628083</v>
      </c>
      <c r="I58" s="20">
        <f>G58+H58</f>
        <v>1038525</v>
      </c>
      <c r="J58" s="20">
        <v>1889910</v>
      </c>
      <c r="K58" s="20">
        <v>0</v>
      </c>
      <c r="L58" s="20">
        <v>1889910</v>
      </c>
      <c r="M58" s="20">
        <v>1946608</v>
      </c>
      <c r="N58" s="20">
        <v>0</v>
      </c>
      <c r="O58" s="20">
        <v>1946608</v>
      </c>
    </row>
    <row r="59" spans="1:15" s="2" customFormat="1" x14ac:dyDescent="0.2">
      <c r="A59" s="11" t="s">
        <v>14</v>
      </c>
      <c r="B59" s="12" t="s">
        <v>10</v>
      </c>
      <c r="C59" s="12" t="s">
        <v>11</v>
      </c>
      <c r="D59" s="12" t="s">
        <v>51</v>
      </c>
      <c r="E59" s="12" t="s">
        <v>15</v>
      </c>
      <c r="F59" s="12" t="s">
        <v>0</v>
      </c>
      <c r="G59" s="13">
        <f t="shared" ref="G59:J59" si="50">G60+G67</f>
        <v>11947059</v>
      </c>
      <c r="H59" s="13">
        <v>0</v>
      </c>
      <c r="I59" s="13">
        <f t="shared" ref="I59" si="51">I60+I67</f>
        <v>11947059</v>
      </c>
      <c r="J59" s="13">
        <f t="shared" si="50"/>
        <v>25005108.530000001</v>
      </c>
      <c r="K59" s="13">
        <v>0</v>
      </c>
      <c r="L59" s="13">
        <f t="shared" ref="L59" si="52">L60+L67</f>
        <v>25005108.530000001</v>
      </c>
      <c r="M59" s="13">
        <f>M60+M67</f>
        <v>41872273.159999996</v>
      </c>
      <c r="N59" s="13">
        <v>0</v>
      </c>
      <c r="O59" s="13">
        <f>O60+O67</f>
        <v>41872273.159999996</v>
      </c>
    </row>
    <row r="60" spans="1:15" s="2" customFormat="1" x14ac:dyDescent="0.2">
      <c r="A60" s="11" t="s">
        <v>44</v>
      </c>
      <c r="B60" s="12" t="s">
        <v>10</v>
      </c>
      <c r="C60" s="12" t="s">
        <v>11</v>
      </c>
      <c r="D60" s="12" t="s">
        <v>51</v>
      </c>
      <c r="E60" s="12" t="s">
        <v>45</v>
      </c>
      <c r="F60" s="12" t="s">
        <v>0</v>
      </c>
      <c r="G60" s="13">
        <f t="shared" ref="G60:J60" si="53">G61+G63</f>
        <v>11947059</v>
      </c>
      <c r="H60" s="13">
        <v>0</v>
      </c>
      <c r="I60" s="13">
        <f t="shared" ref="I60" si="54">I61+I63</f>
        <v>11947059</v>
      </c>
      <c r="J60" s="13">
        <f t="shared" si="53"/>
        <v>11154677</v>
      </c>
      <c r="K60" s="13">
        <v>0</v>
      </c>
      <c r="L60" s="13">
        <f t="shared" ref="L60" si="55">L61+L63</f>
        <v>11154677</v>
      </c>
      <c r="M60" s="13">
        <f>M61+M63</f>
        <v>10569200</v>
      </c>
      <c r="N60" s="13">
        <v>0</v>
      </c>
      <c r="O60" s="13">
        <f>O61+O63</f>
        <v>10569200</v>
      </c>
    </row>
    <row r="61" spans="1:15" s="2" customFormat="1" ht="27" x14ac:dyDescent="0.2">
      <c r="A61" s="15" t="s">
        <v>68</v>
      </c>
      <c r="B61" s="16" t="s">
        <v>10</v>
      </c>
      <c r="C61" s="16" t="s">
        <v>11</v>
      </c>
      <c r="D61" s="16" t="s">
        <v>51</v>
      </c>
      <c r="E61" s="16" t="s">
        <v>69</v>
      </c>
      <c r="F61" s="16" t="s">
        <v>0</v>
      </c>
      <c r="G61" s="17">
        <f t="shared" ref="G61:L61" si="56">G62</f>
        <v>7650000</v>
      </c>
      <c r="H61" s="17">
        <v>0</v>
      </c>
      <c r="I61" s="17">
        <f t="shared" si="56"/>
        <v>7650000</v>
      </c>
      <c r="J61" s="17">
        <f t="shared" si="56"/>
        <v>7650000</v>
      </c>
      <c r="K61" s="17">
        <v>0</v>
      </c>
      <c r="L61" s="17">
        <f t="shared" si="56"/>
        <v>7650000</v>
      </c>
      <c r="M61" s="17">
        <f>M62</f>
        <v>6991958</v>
      </c>
      <c r="N61" s="17">
        <v>0</v>
      </c>
      <c r="O61" s="17">
        <f>O62</f>
        <v>6991958</v>
      </c>
    </row>
    <row r="62" spans="1:15" s="2" customFormat="1" x14ac:dyDescent="0.2">
      <c r="A62" s="18" t="s">
        <v>40</v>
      </c>
      <c r="B62" s="19" t="s">
        <v>10</v>
      </c>
      <c r="C62" s="19" t="s">
        <v>11</v>
      </c>
      <c r="D62" s="19" t="s">
        <v>51</v>
      </c>
      <c r="E62" s="19" t="s">
        <v>69</v>
      </c>
      <c r="F62" s="19" t="s">
        <v>41</v>
      </c>
      <c r="G62" s="20">
        <f>200000+7450000</f>
        <v>7650000</v>
      </c>
      <c r="H62" s="20">
        <v>0</v>
      </c>
      <c r="I62" s="20">
        <f>200000+7450000</f>
        <v>7650000</v>
      </c>
      <c r="J62" s="20">
        <f>200000+7450000</f>
        <v>7650000</v>
      </c>
      <c r="K62" s="20">
        <v>0</v>
      </c>
      <c r="L62" s="20">
        <f>200000+7450000</f>
        <v>7650000</v>
      </c>
      <c r="M62" s="20">
        <f>200000+6791958</f>
        <v>6991958</v>
      </c>
      <c r="N62" s="20">
        <v>0</v>
      </c>
      <c r="O62" s="20">
        <f>200000+6791958</f>
        <v>6991958</v>
      </c>
    </row>
    <row r="63" spans="1:15" s="2" customFormat="1" ht="12.75" customHeight="1" x14ac:dyDescent="0.2">
      <c r="A63" s="15" t="s">
        <v>70</v>
      </c>
      <c r="B63" s="16" t="s">
        <v>10</v>
      </c>
      <c r="C63" s="16" t="s">
        <v>11</v>
      </c>
      <c r="D63" s="16" t="s">
        <v>51</v>
      </c>
      <c r="E63" s="16" t="s">
        <v>71</v>
      </c>
      <c r="F63" s="16" t="s">
        <v>0</v>
      </c>
      <c r="G63" s="17">
        <f t="shared" ref="G63:J63" si="57">G64+G65+G66</f>
        <v>4297059</v>
      </c>
      <c r="H63" s="17">
        <v>0</v>
      </c>
      <c r="I63" s="17">
        <f t="shared" ref="I63" si="58">I64+I65+I66</f>
        <v>4297059</v>
      </c>
      <c r="J63" s="17">
        <f t="shared" si="57"/>
        <v>3504677</v>
      </c>
      <c r="K63" s="17">
        <v>0</v>
      </c>
      <c r="L63" s="17">
        <f t="shared" ref="L63" si="59">L64+L65+L66</f>
        <v>3504677</v>
      </c>
      <c r="M63" s="17">
        <f>M64+M65+M66</f>
        <v>3577242</v>
      </c>
      <c r="N63" s="17">
        <v>0</v>
      </c>
      <c r="O63" s="17">
        <f>O64+O65+O66</f>
        <v>3577242</v>
      </c>
    </row>
    <row r="64" spans="1:15" s="2" customFormat="1" x14ac:dyDescent="0.2">
      <c r="A64" s="18" t="s">
        <v>22</v>
      </c>
      <c r="B64" s="19" t="s">
        <v>10</v>
      </c>
      <c r="C64" s="19" t="s">
        <v>11</v>
      </c>
      <c r="D64" s="19" t="s">
        <v>51</v>
      </c>
      <c r="E64" s="19" t="s">
        <v>71</v>
      </c>
      <c r="F64" s="19" t="s">
        <v>23</v>
      </c>
      <c r="G64" s="20">
        <f>202218+1792628</f>
        <v>1994846</v>
      </c>
      <c r="H64" s="20">
        <v>0</v>
      </c>
      <c r="I64" s="20">
        <f>202218+1792628</f>
        <v>1994846</v>
      </c>
      <c r="J64" s="20">
        <f>209497+2037347</f>
        <v>2246844</v>
      </c>
      <c r="K64" s="20">
        <v>0</v>
      </c>
      <c r="L64" s="20">
        <f>209497+2037347</f>
        <v>2246844</v>
      </c>
      <c r="M64" s="20">
        <f>212157+2098467</f>
        <v>2310624</v>
      </c>
      <c r="N64" s="20">
        <v>0</v>
      </c>
      <c r="O64" s="20">
        <f>212157+2098467</f>
        <v>2310624</v>
      </c>
    </row>
    <row r="65" spans="1:15" s="2" customFormat="1" x14ac:dyDescent="0.2">
      <c r="A65" s="18" t="s">
        <v>72</v>
      </c>
      <c r="B65" s="19" t="s">
        <v>10</v>
      </c>
      <c r="C65" s="19" t="s">
        <v>11</v>
      </c>
      <c r="D65" s="19" t="s">
        <v>51</v>
      </c>
      <c r="E65" s="19" t="s">
        <v>71</v>
      </c>
      <c r="F65" s="19" t="s">
        <v>73</v>
      </c>
      <c r="G65" s="20">
        <f>580000+385000</f>
        <v>965000</v>
      </c>
      <c r="H65" s="20">
        <v>0</v>
      </c>
      <c r="I65" s="20">
        <f>580000+385000</f>
        <v>965000</v>
      </c>
      <c r="J65" s="20">
        <f>580000+385000</f>
        <v>965000</v>
      </c>
      <c r="K65" s="20">
        <v>0</v>
      </c>
      <c r="L65" s="20">
        <f>580000+385000</f>
        <v>965000</v>
      </c>
      <c r="M65" s="20">
        <f>580000+385000</f>
        <v>965000</v>
      </c>
      <c r="N65" s="20">
        <v>0</v>
      </c>
      <c r="O65" s="20">
        <f>580000+385000</f>
        <v>965000</v>
      </c>
    </row>
    <row r="66" spans="1:15" s="2" customFormat="1" x14ac:dyDescent="0.2">
      <c r="A66" s="18" t="s">
        <v>40</v>
      </c>
      <c r="B66" s="19" t="s">
        <v>10</v>
      </c>
      <c r="C66" s="19" t="s">
        <v>11</v>
      </c>
      <c r="D66" s="19" t="s">
        <v>51</v>
      </c>
      <c r="E66" s="19" t="s">
        <v>71</v>
      </c>
      <c r="F66" s="19" t="s">
        <v>41</v>
      </c>
      <c r="G66" s="20">
        <v>1337213</v>
      </c>
      <c r="H66" s="20">
        <v>0</v>
      </c>
      <c r="I66" s="20">
        <v>1337213</v>
      </c>
      <c r="J66" s="20">
        <v>292833</v>
      </c>
      <c r="K66" s="20">
        <v>0</v>
      </c>
      <c r="L66" s="20">
        <v>292833</v>
      </c>
      <c r="M66" s="20">
        <v>301618</v>
      </c>
      <c r="N66" s="20">
        <v>0</v>
      </c>
      <c r="O66" s="20">
        <v>301618</v>
      </c>
    </row>
    <row r="67" spans="1:15" s="2" customFormat="1" x14ac:dyDescent="0.2">
      <c r="A67" s="11" t="s">
        <v>74</v>
      </c>
      <c r="B67" s="12" t="s">
        <v>10</v>
      </c>
      <c r="C67" s="12" t="s">
        <v>11</v>
      </c>
      <c r="D67" s="12" t="s">
        <v>51</v>
      </c>
      <c r="E67" s="12" t="s">
        <v>75</v>
      </c>
      <c r="F67" s="12" t="s">
        <v>0</v>
      </c>
      <c r="G67" s="13">
        <f t="shared" ref="G67:I68" si="60">G68</f>
        <v>0</v>
      </c>
      <c r="H67" s="13">
        <v>0</v>
      </c>
      <c r="I67" s="13">
        <f t="shared" si="60"/>
        <v>0</v>
      </c>
      <c r="J67" s="13">
        <f t="shared" ref="J67:L68" si="61">J68</f>
        <v>13850431.529999999</v>
      </c>
      <c r="K67" s="13">
        <v>0</v>
      </c>
      <c r="L67" s="13">
        <f t="shared" si="61"/>
        <v>13850431.529999999</v>
      </c>
      <c r="M67" s="13">
        <f>M68</f>
        <v>31303073.16</v>
      </c>
      <c r="N67" s="13">
        <v>0</v>
      </c>
      <c r="O67" s="13">
        <f>O68</f>
        <v>31303073.16</v>
      </c>
    </row>
    <row r="68" spans="1:15" s="2" customFormat="1" ht="13.5" x14ac:dyDescent="0.2">
      <c r="A68" s="51" t="s">
        <v>74</v>
      </c>
      <c r="B68" s="55" t="s">
        <v>10</v>
      </c>
      <c r="C68" s="55" t="s">
        <v>11</v>
      </c>
      <c r="D68" s="55" t="s">
        <v>51</v>
      </c>
      <c r="E68" s="55" t="s">
        <v>75</v>
      </c>
      <c r="F68" s="55" t="s">
        <v>0</v>
      </c>
      <c r="G68" s="28">
        <f t="shared" si="60"/>
        <v>0</v>
      </c>
      <c r="H68" s="28">
        <v>0</v>
      </c>
      <c r="I68" s="28">
        <f t="shared" si="60"/>
        <v>0</v>
      </c>
      <c r="J68" s="28">
        <f t="shared" si="61"/>
        <v>13850431.529999999</v>
      </c>
      <c r="K68" s="28">
        <v>0</v>
      </c>
      <c r="L68" s="28">
        <f t="shared" si="61"/>
        <v>13850431.529999999</v>
      </c>
      <c r="M68" s="28">
        <f>M69</f>
        <v>31303073.16</v>
      </c>
      <c r="N68" s="28">
        <v>0</v>
      </c>
      <c r="O68" s="28">
        <f>O69</f>
        <v>31303073.16</v>
      </c>
    </row>
    <row r="69" spans="1:15" s="2" customFormat="1" x14ac:dyDescent="0.2">
      <c r="A69" s="54" t="s">
        <v>40</v>
      </c>
      <c r="B69" s="53" t="s">
        <v>10</v>
      </c>
      <c r="C69" s="53" t="s">
        <v>11</v>
      </c>
      <c r="D69" s="53" t="s">
        <v>51</v>
      </c>
      <c r="E69" s="53" t="s">
        <v>75</v>
      </c>
      <c r="F69" s="53" t="s">
        <v>41</v>
      </c>
      <c r="G69" s="29">
        <v>0</v>
      </c>
      <c r="H69" s="29">
        <v>0</v>
      </c>
      <c r="I69" s="29">
        <v>0</v>
      </c>
      <c r="J69" s="29">
        <v>13850431.529999999</v>
      </c>
      <c r="K69" s="29">
        <v>0</v>
      </c>
      <c r="L69" s="29">
        <v>13850431.529999999</v>
      </c>
      <c r="M69" s="29">
        <f>27695066.52+3608006.64</f>
        <v>31303073.16</v>
      </c>
      <c r="N69" s="29">
        <v>0</v>
      </c>
      <c r="O69" s="29">
        <f>27695066.52+3608006.64</f>
        <v>31303073.16</v>
      </c>
    </row>
    <row r="70" spans="1:15" s="2" customFormat="1" ht="25.5" x14ac:dyDescent="0.2">
      <c r="A70" s="11" t="s">
        <v>220</v>
      </c>
      <c r="B70" s="12" t="s">
        <v>10</v>
      </c>
      <c r="C70" s="12" t="s">
        <v>13</v>
      </c>
      <c r="D70" s="12" t="s">
        <v>0</v>
      </c>
      <c r="E70" s="12" t="s">
        <v>0</v>
      </c>
      <c r="F70" s="12" t="s">
        <v>0</v>
      </c>
      <c r="G70" s="13">
        <f t="shared" ref="G70:L70" si="62">G71</f>
        <v>4489474</v>
      </c>
      <c r="H70" s="13">
        <f t="shared" si="62"/>
        <v>617870.71</v>
      </c>
      <c r="I70" s="13">
        <f t="shared" si="62"/>
        <v>5107344.71</v>
      </c>
      <c r="J70" s="13">
        <f t="shared" si="62"/>
        <v>4132608</v>
      </c>
      <c r="K70" s="13">
        <v>0</v>
      </c>
      <c r="L70" s="13">
        <f t="shared" si="62"/>
        <v>4132608</v>
      </c>
      <c r="M70" s="13">
        <f>M71</f>
        <v>4243059</v>
      </c>
      <c r="N70" s="13">
        <v>0</v>
      </c>
      <c r="O70" s="13">
        <f>O71</f>
        <v>4243059</v>
      </c>
    </row>
    <row r="71" spans="1:15" s="2" customFormat="1" ht="25.5" x14ac:dyDescent="0.2">
      <c r="A71" s="11" t="s">
        <v>76</v>
      </c>
      <c r="B71" s="12" t="s">
        <v>10</v>
      </c>
      <c r="C71" s="12" t="s">
        <v>13</v>
      </c>
      <c r="D71" s="12" t="s">
        <v>77</v>
      </c>
      <c r="E71" s="12" t="s">
        <v>0</v>
      </c>
      <c r="F71" s="12" t="s">
        <v>0</v>
      </c>
      <c r="G71" s="13">
        <f>G72+G85+G76</f>
        <v>4489474</v>
      </c>
      <c r="H71" s="13">
        <f>H72+H85+H76</f>
        <v>617870.71</v>
      </c>
      <c r="I71" s="13">
        <f>I72+I85+I76</f>
        <v>5107344.71</v>
      </c>
      <c r="J71" s="13">
        <f>J72+J85</f>
        <v>4132608</v>
      </c>
      <c r="K71" s="13">
        <f>K72+K85+K76</f>
        <v>0</v>
      </c>
      <c r="L71" s="13">
        <f>L72+L85+L76</f>
        <v>4132608</v>
      </c>
      <c r="M71" s="13">
        <f>M72+M85+M76</f>
        <v>4243059</v>
      </c>
      <c r="N71" s="13">
        <f>N72+N85+N76</f>
        <v>0</v>
      </c>
      <c r="O71" s="13">
        <f>O72+O85+O76</f>
        <v>4243059</v>
      </c>
    </row>
    <row r="72" spans="1:15" s="2" customFormat="1" ht="25.5" x14ac:dyDescent="0.2">
      <c r="A72" s="11" t="s">
        <v>78</v>
      </c>
      <c r="B72" s="12" t="s">
        <v>10</v>
      </c>
      <c r="C72" s="12" t="s">
        <v>13</v>
      </c>
      <c r="D72" s="12" t="s">
        <v>77</v>
      </c>
      <c r="E72" s="12" t="s">
        <v>79</v>
      </c>
      <c r="F72" s="12" t="s">
        <v>0</v>
      </c>
      <c r="G72" s="13">
        <f t="shared" ref="G72:I82" si="63">G73</f>
        <v>2370741</v>
      </c>
      <c r="H72" s="13">
        <v>0</v>
      </c>
      <c r="I72" s="13">
        <f t="shared" si="63"/>
        <v>2370741</v>
      </c>
      <c r="J72" s="13">
        <f t="shared" ref="J72:L74" si="64">J73</f>
        <v>2787127</v>
      </c>
      <c r="K72" s="13">
        <v>0</v>
      </c>
      <c r="L72" s="13">
        <f t="shared" si="64"/>
        <v>2787127</v>
      </c>
      <c r="M72" s="13">
        <f>M73</f>
        <v>2870741</v>
      </c>
      <c r="N72" s="13">
        <v>0</v>
      </c>
      <c r="O72" s="13">
        <f>O73</f>
        <v>2870741</v>
      </c>
    </row>
    <row r="73" spans="1:15" s="2" customFormat="1" ht="25.5" x14ac:dyDescent="0.2">
      <c r="A73" s="11" t="s">
        <v>80</v>
      </c>
      <c r="B73" s="12" t="s">
        <v>10</v>
      </c>
      <c r="C73" s="12" t="s">
        <v>13</v>
      </c>
      <c r="D73" s="12" t="s">
        <v>77</v>
      </c>
      <c r="E73" s="12" t="s">
        <v>81</v>
      </c>
      <c r="F73" s="12" t="s">
        <v>0</v>
      </c>
      <c r="G73" s="13">
        <f t="shared" si="63"/>
        <v>2370741</v>
      </c>
      <c r="H73" s="13">
        <v>0</v>
      </c>
      <c r="I73" s="13">
        <f t="shared" si="63"/>
        <v>2370741</v>
      </c>
      <c r="J73" s="13">
        <f t="shared" si="64"/>
        <v>2787127</v>
      </c>
      <c r="K73" s="13">
        <v>0</v>
      </c>
      <c r="L73" s="13">
        <f t="shared" si="64"/>
        <v>2787127</v>
      </c>
      <c r="M73" s="13">
        <f>M74</f>
        <v>2870741</v>
      </c>
      <c r="N73" s="13">
        <v>0</v>
      </c>
      <c r="O73" s="13">
        <f>O74</f>
        <v>2870741</v>
      </c>
    </row>
    <row r="74" spans="1:15" s="2" customFormat="1" ht="27" x14ac:dyDescent="0.2">
      <c r="A74" s="15" t="s">
        <v>82</v>
      </c>
      <c r="B74" s="16" t="s">
        <v>10</v>
      </c>
      <c r="C74" s="16" t="s">
        <v>13</v>
      </c>
      <c r="D74" s="16" t="s">
        <v>77</v>
      </c>
      <c r="E74" s="16" t="s">
        <v>83</v>
      </c>
      <c r="F74" s="16" t="s">
        <v>0</v>
      </c>
      <c r="G74" s="17">
        <f t="shared" si="63"/>
        <v>2370741</v>
      </c>
      <c r="H74" s="17">
        <v>0</v>
      </c>
      <c r="I74" s="17">
        <f t="shared" si="63"/>
        <v>2370741</v>
      </c>
      <c r="J74" s="17">
        <f t="shared" si="64"/>
        <v>2787127</v>
      </c>
      <c r="K74" s="17">
        <v>0</v>
      </c>
      <c r="L74" s="17">
        <f t="shared" si="64"/>
        <v>2787127</v>
      </c>
      <c r="M74" s="17">
        <f>M75</f>
        <v>2870741</v>
      </c>
      <c r="N74" s="17">
        <v>0</v>
      </c>
      <c r="O74" s="17">
        <f>O75</f>
        <v>2870741</v>
      </c>
    </row>
    <row r="75" spans="1:15" s="2" customFormat="1" x14ac:dyDescent="0.2">
      <c r="A75" s="6" t="s">
        <v>22</v>
      </c>
      <c r="B75" s="7" t="s">
        <v>10</v>
      </c>
      <c r="C75" s="7" t="s">
        <v>13</v>
      </c>
      <c r="D75" s="7" t="s">
        <v>77</v>
      </c>
      <c r="E75" s="7" t="s">
        <v>83</v>
      </c>
      <c r="F75" s="7" t="s">
        <v>23</v>
      </c>
      <c r="G75" s="1">
        <f>2228241+142500</f>
        <v>2370741</v>
      </c>
      <c r="H75" s="20">
        <v>0</v>
      </c>
      <c r="I75" s="1">
        <f>2228241+142500</f>
        <v>2370741</v>
      </c>
      <c r="J75" s="1">
        <f>2308458+147630+331039</f>
        <v>2787127</v>
      </c>
      <c r="K75" s="1">
        <v>0</v>
      </c>
      <c r="L75" s="1">
        <f>2308458+147630+331039</f>
        <v>2787127</v>
      </c>
      <c r="M75" s="1">
        <f>2377712+152059+340970</f>
        <v>2870741</v>
      </c>
      <c r="N75" s="1">
        <v>0</v>
      </c>
      <c r="O75" s="1">
        <f>2377712+152059+340970</f>
        <v>2870741</v>
      </c>
    </row>
    <row r="76" spans="1:15" s="14" customFormat="1" x14ac:dyDescent="0.2">
      <c r="A76" s="11" t="s">
        <v>258</v>
      </c>
      <c r="B76" s="12" t="s">
        <v>10</v>
      </c>
      <c r="C76" s="12" t="s">
        <v>13</v>
      </c>
      <c r="D76" s="12" t="s">
        <v>77</v>
      </c>
      <c r="E76" s="12" t="s">
        <v>257</v>
      </c>
      <c r="F76" s="19"/>
      <c r="G76" s="13">
        <f>G77+G81</f>
        <v>0</v>
      </c>
      <c r="H76" s="13">
        <f t="shared" ref="H76:O76" si="65">H77+H81</f>
        <v>1950099.71</v>
      </c>
      <c r="I76" s="13">
        <f t="shared" si="65"/>
        <v>1950099.71</v>
      </c>
      <c r="J76" s="13">
        <f t="shared" si="65"/>
        <v>0</v>
      </c>
      <c r="K76" s="13">
        <f t="shared" si="65"/>
        <v>1246025</v>
      </c>
      <c r="L76" s="13">
        <f t="shared" si="65"/>
        <v>1246025</v>
      </c>
      <c r="M76" s="13">
        <f t="shared" si="65"/>
        <v>0</v>
      </c>
      <c r="N76" s="13">
        <f t="shared" si="65"/>
        <v>1269878</v>
      </c>
      <c r="O76" s="13">
        <f t="shared" si="65"/>
        <v>1269878</v>
      </c>
    </row>
    <row r="77" spans="1:15" s="14" customFormat="1" x14ac:dyDescent="0.2">
      <c r="A77" s="11" t="s">
        <v>259</v>
      </c>
      <c r="B77" s="12" t="s">
        <v>10</v>
      </c>
      <c r="C77" s="12" t="s">
        <v>13</v>
      </c>
      <c r="D77" s="12" t="s">
        <v>77</v>
      </c>
      <c r="E77" s="12" t="s">
        <v>262</v>
      </c>
      <c r="F77" s="19"/>
      <c r="G77" s="13">
        <f t="shared" si="63"/>
        <v>0</v>
      </c>
      <c r="H77" s="26">
        <f>H78</f>
        <v>1414414.71</v>
      </c>
      <c r="I77" s="26">
        <f t="shared" ref="I77" si="66">I78</f>
        <v>1414414.71</v>
      </c>
      <c r="J77" s="26">
        <f t="shared" ref="J77:O77" si="67">J78</f>
        <v>0</v>
      </c>
      <c r="K77" s="26">
        <f t="shared" si="67"/>
        <v>851782</v>
      </c>
      <c r="L77" s="26">
        <f t="shared" si="67"/>
        <v>851782</v>
      </c>
      <c r="M77" s="26">
        <f t="shared" si="67"/>
        <v>0</v>
      </c>
      <c r="N77" s="26">
        <f t="shared" si="67"/>
        <v>873136</v>
      </c>
      <c r="O77" s="26">
        <f t="shared" si="67"/>
        <v>873136</v>
      </c>
    </row>
    <row r="78" spans="1:15" s="60" customFormat="1" ht="27" x14ac:dyDescent="0.2">
      <c r="A78" s="15" t="s">
        <v>261</v>
      </c>
      <c r="B78" s="16" t="s">
        <v>10</v>
      </c>
      <c r="C78" s="16" t="s">
        <v>13</v>
      </c>
      <c r="D78" s="16" t="s">
        <v>77</v>
      </c>
      <c r="E78" s="16" t="s">
        <v>260</v>
      </c>
      <c r="F78" s="12"/>
      <c r="G78" s="17">
        <f>G79+G80</f>
        <v>0</v>
      </c>
      <c r="H78" s="17">
        <f>H79+H80</f>
        <v>1414414.71</v>
      </c>
      <c r="I78" s="17">
        <f t="shared" ref="I78:O78" si="68">I79+I80</f>
        <v>1414414.71</v>
      </c>
      <c r="J78" s="17">
        <f t="shared" si="68"/>
        <v>0</v>
      </c>
      <c r="K78" s="17">
        <f t="shared" si="68"/>
        <v>851782</v>
      </c>
      <c r="L78" s="17">
        <f t="shared" si="68"/>
        <v>851782</v>
      </c>
      <c r="M78" s="17">
        <f t="shared" si="68"/>
        <v>0</v>
      </c>
      <c r="N78" s="17">
        <f t="shared" si="68"/>
        <v>873136</v>
      </c>
      <c r="O78" s="17">
        <f t="shared" si="68"/>
        <v>873136</v>
      </c>
    </row>
    <row r="79" spans="1:15" s="14" customFormat="1" ht="13.5" x14ac:dyDescent="0.2">
      <c r="A79" s="18" t="s">
        <v>22</v>
      </c>
      <c r="B79" s="16" t="s">
        <v>10</v>
      </c>
      <c r="C79" s="16" t="s">
        <v>13</v>
      </c>
      <c r="D79" s="16" t="s">
        <v>77</v>
      </c>
      <c r="E79" s="61" t="s">
        <v>260</v>
      </c>
      <c r="F79" s="19">
        <v>200</v>
      </c>
      <c r="G79" s="20">
        <v>0</v>
      </c>
      <c r="H79" s="20">
        <f>72000+407544+150000+27000+617870.71</f>
        <v>1274414.71</v>
      </c>
      <c r="I79" s="20">
        <f>G79+H79</f>
        <v>1274414.71</v>
      </c>
      <c r="J79" s="20">
        <v>0</v>
      </c>
      <c r="K79" s="20">
        <f>74592+453818+155400+27972</f>
        <v>711782</v>
      </c>
      <c r="L79" s="20">
        <f>J79+K79</f>
        <v>711782</v>
      </c>
      <c r="M79" s="20">
        <v>0</v>
      </c>
      <c r="N79" s="20">
        <f>76829+467433+160062+28812</f>
        <v>733136</v>
      </c>
      <c r="O79" s="20">
        <f>M79+N79</f>
        <v>733136</v>
      </c>
    </row>
    <row r="80" spans="1:15" s="14" customFormat="1" ht="13.5" customHeight="1" x14ac:dyDescent="0.2">
      <c r="A80" s="18" t="s">
        <v>270</v>
      </c>
      <c r="B80" s="16" t="s">
        <v>10</v>
      </c>
      <c r="C80" s="16" t="s">
        <v>13</v>
      </c>
      <c r="D80" s="16" t="s">
        <v>77</v>
      </c>
      <c r="E80" s="61" t="s">
        <v>260</v>
      </c>
      <c r="F80" s="19">
        <v>300</v>
      </c>
      <c r="G80" s="20">
        <v>0</v>
      </c>
      <c r="H80" s="20">
        <v>140000</v>
      </c>
      <c r="I80" s="20">
        <f>G80+H80</f>
        <v>140000</v>
      </c>
      <c r="J80" s="20">
        <v>0</v>
      </c>
      <c r="K80" s="20">
        <v>140000</v>
      </c>
      <c r="L80" s="20">
        <f>J80+K80</f>
        <v>140000</v>
      </c>
      <c r="M80" s="20">
        <v>0</v>
      </c>
      <c r="N80" s="20">
        <v>140000</v>
      </c>
      <c r="O80" s="20">
        <f>M80+N80</f>
        <v>140000</v>
      </c>
    </row>
    <row r="81" spans="1:15" s="14" customFormat="1" ht="13.5" x14ac:dyDescent="0.2">
      <c r="A81" s="15" t="s">
        <v>263</v>
      </c>
      <c r="B81" s="12" t="s">
        <v>10</v>
      </c>
      <c r="C81" s="12" t="s">
        <v>13</v>
      </c>
      <c r="D81" s="12" t="s">
        <v>77</v>
      </c>
      <c r="E81" s="12" t="s">
        <v>264</v>
      </c>
      <c r="F81" s="19"/>
      <c r="G81" s="13">
        <f t="shared" si="63"/>
        <v>0</v>
      </c>
      <c r="H81" s="26">
        <f>H82</f>
        <v>535685</v>
      </c>
      <c r="I81" s="26">
        <f>I82</f>
        <v>535685</v>
      </c>
      <c r="J81" s="26">
        <f t="shared" ref="J81:O81" si="69">J82</f>
        <v>0</v>
      </c>
      <c r="K81" s="26">
        <f t="shared" si="69"/>
        <v>394243</v>
      </c>
      <c r="L81" s="26">
        <f t="shared" si="69"/>
        <v>394243</v>
      </c>
      <c r="M81" s="26">
        <f t="shared" si="69"/>
        <v>0</v>
      </c>
      <c r="N81" s="26">
        <f t="shared" si="69"/>
        <v>396742</v>
      </c>
      <c r="O81" s="26">
        <f t="shared" si="69"/>
        <v>396742</v>
      </c>
    </row>
    <row r="82" spans="1:15" s="14" customFormat="1" ht="27" x14ac:dyDescent="0.2">
      <c r="A82" s="15" t="s">
        <v>266</v>
      </c>
      <c r="B82" s="16" t="s">
        <v>10</v>
      </c>
      <c r="C82" s="16" t="s">
        <v>13</v>
      </c>
      <c r="D82" s="16" t="s">
        <v>77</v>
      </c>
      <c r="E82" s="16" t="s">
        <v>265</v>
      </c>
      <c r="F82" s="16"/>
      <c r="G82" s="17">
        <f t="shared" si="63"/>
        <v>0</v>
      </c>
      <c r="H82" s="27">
        <f>H83+H84</f>
        <v>535685</v>
      </c>
      <c r="I82" s="27">
        <f t="shared" ref="I82:O82" si="70">I83+I84</f>
        <v>535685</v>
      </c>
      <c r="J82" s="27">
        <f t="shared" si="70"/>
        <v>0</v>
      </c>
      <c r="K82" s="27">
        <f t="shared" si="70"/>
        <v>394243</v>
      </c>
      <c r="L82" s="27">
        <f t="shared" si="70"/>
        <v>394243</v>
      </c>
      <c r="M82" s="27">
        <f t="shared" si="70"/>
        <v>0</v>
      </c>
      <c r="N82" s="27">
        <f t="shared" si="70"/>
        <v>396742</v>
      </c>
      <c r="O82" s="27">
        <f t="shared" si="70"/>
        <v>396742</v>
      </c>
    </row>
    <row r="83" spans="1:15" s="14" customFormat="1" x14ac:dyDescent="0.2">
      <c r="A83" s="18" t="s">
        <v>22</v>
      </c>
      <c r="B83" s="19">
        <v>801</v>
      </c>
      <c r="C83" s="61" t="s">
        <v>13</v>
      </c>
      <c r="D83" s="61" t="s">
        <v>77</v>
      </c>
      <c r="E83" s="61" t="s">
        <v>265</v>
      </c>
      <c r="F83" s="19">
        <v>200</v>
      </c>
      <c r="G83" s="20">
        <v>0</v>
      </c>
      <c r="H83" s="20">
        <v>415685</v>
      </c>
      <c r="I83" s="20">
        <f>G83+H83</f>
        <v>415685</v>
      </c>
      <c r="J83" s="20">
        <v>0</v>
      </c>
      <c r="K83" s="20">
        <v>269923</v>
      </c>
      <c r="L83" s="20">
        <f>J83+K83</f>
        <v>269923</v>
      </c>
      <c r="M83" s="20">
        <v>0</v>
      </c>
      <c r="N83" s="20">
        <v>268692</v>
      </c>
      <c r="O83" s="20">
        <f>M83+N83</f>
        <v>268692</v>
      </c>
    </row>
    <row r="84" spans="1:15" s="14" customFormat="1" ht="13.5" customHeight="1" x14ac:dyDescent="0.2">
      <c r="A84" s="18" t="s">
        <v>270</v>
      </c>
      <c r="B84" s="19">
        <v>801</v>
      </c>
      <c r="C84" s="61" t="s">
        <v>13</v>
      </c>
      <c r="D84" s="61" t="s">
        <v>77</v>
      </c>
      <c r="E84" s="61" t="s">
        <v>265</v>
      </c>
      <c r="F84" s="19">
        <v>300</v>
      </c>
      <c r="G84" s="20">
        <v>0</v>
      </c>
      <c r="H84" s="20">
        <v>120000</v>
      </c>
      <c r="I84" s="20">
        <f>G84+H84</f>
        <v>120000</v>
      </c>
      <c r="J84" s="20">
        <v>0</v>
      </c>
      <c r="K84" s="20">
        <v>124320</v>
      </c>
      <c r="L84" s="20">
        <f>J84+K84</f>
        <v>124320</v>
      </c>
      <c r="M84" s="20">
        <v>0</v>
      </c>
      <c r="N84" s="20">
        <v>128050</v>
      </c>
      <c r="O84" s="20">
        <f>M84+N84</f>
        <v>128050</v>
      </c>
    </row>
    <row r="85" spans="1:15" s="14" customFormat="1" x14ac:dyDescent="0.2">
      <c r="A85" s="11" t="s">
        <v>14</v>
      </c>
      <c r="B85" s="12" t="s">
        <v>10</v>
      </c>
      <c r="C85" s="12" t="s">
        <v>13</v>
      </c>
      <c r="D85" s="12" t="s">
        <v>77</v>
      </c>
      <c r="E85" s="12" t="s">
        <v>15</v>
      </c>
      <c r="F85" s="12" t="s">
        <v>0</v>
      </c>
      <c r="G85" s="13">
        <f t="shared" ref="G85:N85" si="71">G86</f>
        <v>2118733</v>
      </c>
      <c r="H85" s="13">
        <f t="shared" si="71"/>
        <v>-1332229</v>
      </c>
      <c r="I85" s="13">
        <f t="shared" si="71"/>
        <v>786504</v>
      </c>
      <c r="J85" s="13">
        <f t="shared" si="71"/>
        <v>1345481</v>
      </c>
      <c r="K85" s="13">
        <f t="shared" si="71"/>
        <v>-1246025</v>
      </c>
      <c r="L85" s="13">
        <f t="shared" si="71"/>
        <v>99456</v>
      </c>
      <c r="M85" s="13">
        <f>M86</f>
        <v>1372318</v>
      </c>
      <c r="N85" s="13">
        <f t="shared" si="71"/>
        <v>-1269878</v>
      </c>
      <c r="O85" s="13">
        <f>O86</f>
        <v>102440</v>
      </c>
    </row>
    <row r="86" spans="1:15" s="14" customFormat="1" x14ac:dyDescent="0.2">
      <c r="A86" s="11" t="s">
        <v>44</v>
      </c>
      <c r="B86" s="12" t="s">
        <v>10</v>
      </c>
      <c r="C86" s="12" t="s">
        <v>13</v>
      </c>
      <c r="D86" s="12" t="s">
        <v>77</v>
      </c>
      <c r="E86" s="12" t="s">
        <v>45</v>
      </c>
      <c r="F86" s="12" t="s">
        <v>0</v>
      </c>
      <c r="G86" s="13">
        <f>G87+G91+G95</f>
        <v>2118733</v>
      </c>
      <c r="H86" s="13">
        <f>H87+H91+H95</f>
        <v>-1332229</v>
      </c>
      <c r="I86" s="13">
        <f>I87+I91+I95</f>
        <v>786504</v>
      </c>
      <c r="J86" s="13">
        <f t="shared" ref="J86:L86" si="72">J87+J91+J95</f>
        <v>1345481</v>
      </c>
      <c r="K86" s="13">
        <f>K87+K91+K95</f>
        <v>-1246025</v>
      </c>
      <c r="L86" s="13">
        <f t="shared" si="72"/>
        <v>99456</v>
      </c>
      <c r="M86" s="13">
        <f>M87+M91+M95</f>
        <v>1372318</v>
      </c>
      <c r="N86" s="13">
        <f>N87+N91+N95</f>
        <v>-1269878</v>
      </c>
      <c r="O86" s="13">
        <f>O87+O91+O95</f>
        <v>102440</v>
      </c>
    </row>
    <row r="87" spans="1:15" s="14" customFormat="1" ht="27" x14ac:dyDescent="0.2">
      <c r="A87" s="15" t="s">
        <v>84</v>
      </c>
      <c r="B87" s="16" t="s">
        <v>10</v>
      </c>
      <c r="C87" s="16" t="s">
        <v>13</v>
      </c>
      <c r="D87" s="16" t="s">
        <v>77</v>
      </c>
      <c r="E87" s="16" t="s">
        <v>85</v>
      </c>
      <c r="F87" s="16" t="s">
        <v>0</v>
      </c>
      <c r="G87" s="17">
        <f>G88+G89+G90</f>
        <v>1487048</v>
      </c>
      <c r="H87" s="17">
        <f>H88+H89+H90</f>
        <v>-796544</v>
      </c>
      <c r="I87" s="17">
        <f>I88+I89+I90</f>
        <v>690504</v>
      </c>
      <c r="J87" s="17">
        <f t="shared" ref="J87:L87" si="73">J88+J89+J90</f>
        <v>851782</v>
      </c>
      <c r="K87" s="17">
        <f>K88+K89+K90</f>
        <v>-851782</v>
      </c>
      <c r="L87" s="17">
        <f t="shared" si="73"/>
        <v>0</v>
      </c>
      <c r="M87" s="17">
        <f>M88+M89+M90</f>
        <v>873136</v>
      </c>
      <c r="N87" s="17">
        <f>N88+N89+N90</f>
        <v>-873136</v>
      </c>
      <c r="O87" s="17">
        <f>O88+O89+O90</f>
        <v>0</v>
      </c>
    </row>
    <row r="88" spans="1:15" s="14" customFormat="1" x14ac:dyDescent="0.2">
      <c r="A88" s="18" t="s">
        <v>22</v>
      </c>
      <c r="B88" s="19" t="s">
        <v>10</v>
      </c>
      <c r="C88" s="19" t="s">
        <v>13</v>
      </c>
      <c r="D88" s="19" t="s">
        <v>77</v>
      </c>
      <c r="E88" s="19" t="s">
        <v>85</v>
      </c>
      <c r="F88" s="19" t="s">
        <v>23</v>
      </c>
      <c r="G88" s="20">
        <f>72000+438048+150000+27000+660000</f>
        <v>1347048</v>
      </c>
      <c r="H88" s="20">
        <f>-72000-407544-27000-150000</f>
        <v>-656544</v>
      </c>
      <c r="I88" s="20">
        <f>G88+H88</f>
        <v>690504</v>
      </c>
      <c r="J88" s="20">
        <f>74592+453818+155400+27972</f>
        <v>711782</v>
      </c>
      <c r="K88" s="20">
        <f>-74592-453818-155400-27972</f>
        <v>-711782</v>
      </c>
      <c r="L88" s="20">
        <f>J88+K88</f>
        <v>0</v>
      </c>
      <c r="M88" s="20">
        <f>76829+467433+160062+28812</f>
        <v>733136</v>
      </c>
      <c r="N88" s="20">
        <f>-76829-467433-160062-28812</f>
        <v>-733136</v>
      </c>
      <c r="O88" s="20">
        <f>M88+N88</f>
        <v>0</v>
      </c>
    </row>
    <row r="89" spans="1:15" s="14" customFormat="1" ht="11.25" customHeight="1" x14ac:dyDescent="0.2">
      <c r="A89" s="18" t="s">
        <v>72</v>
      </c>
      <c r="B89" s="19" t="s">
        <v>10</v>
      </c>
      <c r="C89" s="19" t="s">
        <v>13</v>
      </c>
      <c r="D89" s="19" t="s">
        <v>77</v>
      </c>
      <c r="E89" s="19" t="s">
        <v>85</v>
      </c>
      <c r="F89" s="19" t="s">
        <v>73</v>
      </c>
      <c r="G89" s="20">
        <v>140000</v>
      </c>
      <c r="H89" s="20">
        <v>-140000</v>
      </c>
      <c r="I89" s="20">
        <f t="shared" ref="I89:I90" si="74">G89+H89</f>
        <v>0</v>
      </c>
      <c r="J89" s="20">
        <v>140000</v>
      </c>
      <c r="K89" s="20">
        <v>-140000</v>
      </c>
      <c r="L89" s="20">
        <f t="shared" ref="L89" si="75">J89+K89</f>
        <v>0</v>
      </c>
      <c r="M89" s="20">
        <v>140000</v>
      </c>
      <c r="N89" s="20">
        <v>-140000</v>
      </c>
      <c r="O89" s="20">
        <f t="shared" ref="O89" si="76">M89+N89</f>
        <v>0</v>
      </c>
    </row>
    <row r="90" spans="1:15" s="14" customFormat="1" ht="30.75" hidden="1" customHeight="1" outlineLevel="1" x14ac:dyDescent="0.2">
      <c r="A90" s="18" t="s">
        <v>86</v>
      </c>
      <c r="B90" s="19" t="s">
        <v>10</v>
      </c>
      <c r="C90" s="19" t="s">
        <v>13</v>
      </c>
      <c r="D90" s="19" t="s">
        <v>77</v>
      </c>
      <c r="E90" s="19" t="s">
        <v>85</v>
      </c>
      <c r="F90" s="19" t="s">
        <v>87</v>
      </c>
      <c r="G90" s="20">
        <v>0</v>
      </c>
      <c r="H90" s="20"/>
      <c r="I90" s="20">
        <f t="shared" si="74"/>
        <v>0</v>
      </c>
      <c r="J90" s="20">
        <v>0</v>
      </c>
      <c r="K90" s="20"/>
      <c r="L90" s="20">
        <v>0</v>
      </c>
      <c r="M90" s="20">
        <v>0</v>
      </c>
      <c r="N90" s="20"/>
      <c r="O90" s="20">
        <v>0</v>
      </c>
    </row>
    <row r="91" spans="1:15" s="14" customFormat="1" ht="10.5" customHeight="1" collapsed="1" x14ac:dyDescent="0.2">
      <c r="A91" s="15" t="s">
        <v>88</v>
      </c>
      <c r="B91" s="16" t="s">
        <v>10</v>
      </c>
      <c r="C91" s="16" t="s">
        <v>13</v>
      </c>
      <c r="D91" s="16" t="s">
        <v>77</v>
      </c>
      <c r="E91" s="16" t="s">
        <v>89</v>
      </c>
      <c r="F91" s="16" t="s">
        <v>0</v>
      </c>
      <c r="G91" s="17">
        <f t="shared" ref="G91:K91" si="77">G92+G93+G94</f>
        <v>535685</v>
      </c>
      <c r="H91" s="17">
        <f t="shared" si="77"/>
        <v>-535685</v>
      </c>
      <c r="I91" s="17">
        <f t="shared" ref="I91" si="78">I92+I93+I94</f>
        <v>0</v>
      </c>
      <c r="J91" s="17">
        <f t="shared" si="77"/>
        <v>394243</v>
      </c>
      <c r="K91" s="17">
        <f t="shared" si="77"/>
        <v>-394243</v>
      </c>
      <c r="L91" s="17">
        <f t="shared" ref="L91" si="79">L92+L93+L94</f>
        <v>0</v>
      </c>
      <c r="M91" s="17">
        <f>M92+M93+M94</f>
        <v>396742</v>
      </c>
      <c r="N91" s="17">
        <f t="shared" ref="N91" si="80">N92+N93+N94</f>
        <v>-396742</v>
      </c>
      <c r="O91" s="17">
        <f>O92+O93+O94</f>
        <v>0</v>
      </c>
    </row>
    <row r="92" spans="1:15" s="14" customFormat="1" ht="10.5" hidden="1" customHeight="1" outlineLevel="1" x14ac:dyDescent="0.2">
      <c r="A92" s="18" t="s">
        <v>20</v>
      </c>
      <c r="B92" s="19" t="s">
        <v>10</v>
      </c>
      <c r="C92" s="19" t="s">
        <v>13</v>
      </c>
      <c r="D92" s="19" t="s">
        <v>77</v>
      </c>
      <c r="E92" s="19" t="s">
        <v>89</v>
      </c>
      <c r="F92" s="19" t="s">
        <v>21</v>
      </c>
      <c r="G92" s="20">
        <v>0</v>
      </c>
      <c r="H92" s="20"/>
      <c r="I92" s="20">
        <v>0</v>
      </c>
      <c r="J92" s="20">
        <v>0</v>
      </c>
      <c r="K92" s="20"/>
      <c r="L92" s="20">
        <v>0</v>
      </c>
      <c r="M92" s="20">
        <v>0</v>
      </c>
      <c r="N92" s="20"/>
      <c r="O92" s="20">
        <v>0</v>
      </c>
    </row>
    <row r="93" spans="1:15" s="14" customFormat="1" collapsed="1" x14ac:dyDescent="0.2">
      <c r="A93" s="18" t="s">
        <v>22</v>
      </c>
      <c r="B93" s="19" t="s">
        <v>10</v>
      </c>
      <c r="C93" s="19" t="s">
        <v>13</v>
      </c>
      <c r="D93" s="19" t="s">
        <v>77</v>
      </c>
      <c r="E93" s="19" t="s">
        <v>89</v>
      </c>
      <c r="F93" s="19" t="s">
        <v>23</v>
      </c>
      <c r="G93" s="20">
        <v>415685</v>
      </c>
      <c r="H93" s="20">
        <v>-415685</v>
      </c>
      <c r="I93" s="20">
        <f>G93+H93</f>
        <v>0</v>
      </c>
      <c r="J93" s="20">
        <v>269923</v>
      </c>
      <c r="K93" s="20">
        <v>-269923</v>
      </c>
      <c r="L93" s="20">
        <f>J93+K93</f>
        <v>0</v>
      </c>
      <c r="M93" s="20">
        <v>268692</v>
      </c>
      <c r="N93" s="20">
        <v>-268692</v>
      </c>
      <c r="O93" s="20">
        <f>M93+N93</f>
        <v>0</v>
      </c>
    </row>
    <row r="94" spans="1:15" s="14" customFormat="1" x14ac:dyDescent="0.2">
      <c r="A94" s="18" t="s">
        <v>72</v>
      </c>
      <c r="B94" s="19" t="s">
        <v>10</v>
      </c>
      <c r="C94" s="19" t="s">
        <v>13</v>
      </c>
      <c r="D94" s="19" t="s">
        <v>77</v>
      </c>
      <c r="E94" s="19" t="s">
        <v>89</v>
      </c>
      <c r="F94" s="19" t="s">
        <v>73</v>
      </c>
      <c r="G94" s="20">
        <v>120000</v>
      </c>
      <c r="H94" s="20">
        <v>-120000</v>
      </c>
      <c r="I94" s="20">
        <f>G94+H94</f>
        <v>0</v>
      </c>
      <c r="J94" s="20">
        <v>124320</v>
      </c>
      <c r="K94" s="20">
        <v>-124320</v>
      </c>
      <c r="L94" s="20">
        <f>J94+K94</f>
        <v>0</v>
      </c>
      <c r="M94" s="20">
        <v>128050</v>
      </c>
      <c r="N94" s="20">
        <v>-128050</v>
      </c>
      <c r="O94" s="20">
        <f>M94+N94</f>
        <v>0</v>
      </c>
    </row>
    <row r="95" spans="1:15" s="2" customFormat="1" ht="13.5" x14ac:dyDescent="0.2">
      <c r="A95" s="3" t="s">
        <v>70</v>
      </c>
      <c r="B95" s="4" t="s">
        <v>10</v>
      </c>
      <c r="C95" s="4" t="s">
        <v>13</v>
      </c>
      <c r="D95" s="4">
        <v>14</v>
      </c>
      <c r="E95" s="4" t="s">
        <v>71</v>
      </c>
      <c r="F95" s="4" t="s">
        <v>0</v>
      </c>
      <c r="G95" s="5">
        <f t="shared" ref="G95:L95" si="81">G96</f>
        <v>96000</v>
      </c>
      <c r="H95" s="17">
        <v>0</v>
      </c>
      <c r="I95" s="5">
        <f t="shared" si="81"/>
        <v>96000</v>
      </c>
      <c r="J95" s="5">
        <f t="shared" si="81"/>
        <v>99456</v>
      </c>
      <c r="K95" s="5">
        <v>0</v>
      </c>
      <c r="L95" s="5">
        <f t="shared" si="81"/>
        <v>99456</v>
      </c>
      <c r="M95" s="5">
        <f>M96</f>
        <v>102440</v>
      </c>
      <c r="N95" s="5">
        <v>0</v>
      </c>
      <c r="O95" s="5">
        <f>O96</f>
        <v>102440</v>
      </c>
    </row>
    <row r="96" spans="1:15" s="2" customFormat="1" x14ac:dyDescent="0.2">
      <c r="A96" s="18" t="s">
        <v>22</v>
      </c>
      <c r="B96" s="19" t="s">
        <v>10</v>
      </c>
      <c r="C96" s="19" t="s">
        <v>13</v>
      </c>
      <c r="D96" s="19">
        <v>14</v>
      </c>
      <c r="E96" s="19" t="s">
        <v>71</v>
      </c>
      <c r="F96" s="19" t="s">
        <v>23</v>
      </c>
      <c r="G96" s="20">
        <v>96000</v>
      </c>
      <c r="H96" s="20">
        <v>0</v>
      </c>
      <c r="I96" s="20">
        <v>96000</v>
      </c>
      <c r="J96" s="20">
        <v>99456</v>
      </c>
      <c r="K96" s="20">
        <v>0</v>
      </c>
      <c r="L96" s="20">
        <v>99456</v>
      </c>
      <c r="M96" s="20">
        <v>102440</v>
      </c>
      <c r="N96" s="20">
        <v>0</v>
      </c>
      <c r="O96" s="20">
        <v>102440</v>
      </c>
    </row>
    <row r="97" spans="1:15" s="2" customFormat="1" x14ac:dyDescent="0.2">
      <c r="A97" s="11" t="s">
        <v>221</v>
      </c>
      <c r="B97" s="12" t="s">
        <v>10</v>
      </c>
      <c r="C97" s="12" t="s">
        <v>32</v>
      </c>
      <c r="D97" s="12" t="s">
        <v>0</v>
      </c>
      <c r="E97" s="12" t="s">
        <v>0</v>
      </c>
      <c r="F97" s="12" t="s">
        <v>0</v>
      </c>
      <c r="G97" s="13">
        <f>G98+G104</f>
        <v>19469238</v>
      </c>
      <c r="H97" s="13">
        <f>H98+H104</f>
        <v>325947.68</v>
      </c>
      <c r="I97" s="13">
        <f>I98+I104</f>
        <v>19795185.68</v>
      </c>
      <c r="J97" s="13">
        <f t="shared" ref="J97:O97" si="82">J98+J104</f>
        <v>18372430</v>
      </c>
      <c r="K97" s="13">
        <f t="shared" si="82"/>
        <v>0</v>
      </c>
      <c r="L97" s="13">
        <f t="shared" si="82"/>
        <v>18372430</v>
      </c>
      <c r="M97" s="13">
        <f t="shared" si="82"/>
        <v>18128090</v>
      </c>
      <c r="N97" s="13">
        <f t="shared" si="82"/>
        <v>0</v>
      </c>
      <c r="O97" s="13">
        <f t="shared" si="82"/>
        <v>18128090</v>
      </c>
    </row>
    <row r="98" spans="1:15" s="14" customFormat="1" x14ac:dyDescent="0.2">
      <c r="A98" s="11" t="s">
        <v>90</v>
      </c>
      <c r="B98" s="12" t="s">
        <v>10</v>
      </c>
      <c r="C98" s="12" t="s">
        <v>32</v>
      </c>
      <c r="D98" s="12" t="s">
        <v>91</v>
      </c>
      <c r="E98" s="12" t="s">
        <v>0</v>
      </c>
      <c r="F98" s="12" t="s">
        <v>0</v>
      </c>
      <c r="G98" s="13">
        <f t="shared" ref="G98:O100" si="83">G99</f>
        <v>16377407</v>
      </c>
      <c r="H98" s="13">
        <f t="shared" si="83"/>
        <v>0</v>
      </c>
      <c r="I98" s="13">
        <f t="shared" si="83"/>
        <v>16377407</v>
      </c>
      <c r="J98" s="13">
        <f t="shared" si="83"/>
        <v>16377407</v>
      </c>
      <c r="K98" s="13">
        <f t="shared" si="83"/>
        <v>0</v>
      </c>
      <c r="L98" s="13">
        <f t="shared" si="83"/>
        <v>16377407</v>
      </c>
      <c r="M98" s="13">
        <f t="shared" si="83"/>
        <v>16377407</v>
      </c>
      <c r="N98" s="13">
        <f t="shared" si="83"/>
        <v>0</v>
      </c>
      <c r="O98" s="13">
        <f t="shared" si="83"/>
        <v>16377407</v>
      </c>
    </row>
    <row r="99" spans="1:15" s="14" customFormat="1" x14ac:dyDescent="0.2">
      <c r="A99" s="11" t="s">
        <v>14</v>
      </c>
      <c r="B99" s="12" t="s">
        <v>10</v>
      </c>
      <c r="C99" s="12" t="s">
        <v>32</v>
      </c>
      <c r="D99" s="12" t="s">
        <v>91</v>
      </c>
      <c r="E99" s="12" t="s">
        <v>15</v>
      </c>
      <c r="F99" s="12" t="s">
        <v>0</v>
      </c>
      <c r="G99" s="13">
        <f t="shared" si="83"/>
        <v>16377407</v>
      </c>
      <c r="H99" s="13">
        <f t="shared" si="83"/>
        <v>0</v>
      </c>
      <c r="I99" s="13">
        <f t="shared" si="83"/>
        <v>16377407</v>
      </c>
      <c r="J99" s="13">
        <f t="shared" si="83"/>
        <v>16377407</v>
      </c>
      <c r="K99" s="13">
        <f t="shared" si="83"/>
        <v>0</v>
      </c>
      <c r="L99" s="13">
        <f t="shared" si="83"/>
        <v>16377407</v>
      </c>
      <c r="M99" s="13">
        <f t="shared" si="83"/>
        <v>16377407</v>
      </c>
      <c r="N99" s="13">
        <f t="shared" si="83"/>
        <v>0</v>
      </c>
      <c r="O99" s="13">
        <f t="shared" si="83"/>
        <v>16377407</v>
      </c>
    </row>
    <row r="100" spans="1:15" s="14" customFormat="1" x14ac:dyDescent="0.2">
      <c r="A100" s="11" t="s">
        <v>44</v>
      </c>
      <c r="B100" s="12" t="s">
        <v>10</v>
      </c>
      <c r="C100" s="12" t="s">
        <v>32</v>
      </c>
      <c r="D100" s="12" t="s">
        <v>91</v>
      </c>
      <c r="E100" s="12" t="s">
        <v>45</v>
      </c>
      <c r="F100" s="12" t="s">
        <v>0</v>
      </c>
      <c r="G100" s="13">
        <f t="shared" si="83"/>
        <v>16377407</v>
      </c>
      <c r="H100" s="13">
        <f t="shared" si="83"/>
        <v>0</v>
      </c>
      <c r="I100" s="13">
        <f t="shared" si="83"/>
        <v>16377407</v>
      </c>
      <c r="J100" s="13">
        <f t="shared" si="83"/>
        <v>16377407</v>
      </c>
      <c r="K100" s="13">
        <f t="shared" si="83"/>
        <v>0</v>
      </c>
      <c r="L100" s="13">
        <f t="shared" si="83"/>
        <v>16377407</v>
      </c>
      <c r="M100" s="13">
        <f t="shared" si="83"/>
        <v>16377407</v>
      </c>
      <c r="N100" s="13">
        <f t="shared" si="83"/>
        <v>0</v>
      </c>
      <c r="O100" s="13">
        <f t="shared" si="83"/>
        <v>16377407</v>
      </c>
    </row>
    <row r="101" spans="1:15" s="14" customFormat="1" ht="11.25" customHeight="1" x14ac:dyDescent="0.2">
      <c r="A101" s="15" t="s">
        <v>88</v>
      </c>
      <c r="B101" s="16" t="s">
        <v>10</v>
      </c>
      <c r="C101" s="16" t="s">
        <v>32</v>
      </c>
      <c r="D101" s="16" t="s">
        <v>91</v>
      </c>
      <c r="E101" s="16" t="s">
        <v>89</v>
      </c>
      <c r="F101" s="16" t="s">
        <v>0</v>
      </c>
      <c r="G101" s="17">
        <f>G102+G103</f>
        <v>16377407</v>
      </c>
      <c r="H101" s="17">
        <f>H102+H103</f>
        <v>0</v>
      </c>
      <c r="I101" s="17">
        <f>I102+I103</f>
        <v>16377407</v>
      </c>
      <c r="J101" s="17">
        <f t="shared" ref="J101:O101" si="84">J102+J103</f>
        <v>16377407</v>
      </c>
      <c r="K101" s="17">
        <f t="shared" si="84"/>
        <v>0</v>
      </c>
      <c r="L101" s="17">
        <f t="shared" si="84"/>
        <v>16377407</v>
      </c>
      <c r="M101" s="17">
        <f t="shared" si="84"/>
        <v>16377407</v>
      </c>
      <c r="N101" s="17">
        <f t="shared" si="84"/>
        <v>0</v>
      </c>
      <c r="O101" s="17">
        <f t="shared" si="84"/>
        <v>16377407</v>
      </c>
    </row>
    <row r="102" spans="1:15" s="10" customFormat="1" ht="12" customHeight="1" x14ac:dyDescent="0.2">
      <c r="A102" s="18" t="s">
        <v>22</v>
      </c>
      <c r="B102" s="19" t="s">
        <v>10</v>
      </c>
      <c r="C102" s="19" t="s">
        <v>32</v>
      </c>
      <c r="D102" s="19" t="s">
        <v>91</v>
      </c>
      <c r="E102" s="19" t="s">
        <v>89</v>
      </c>
      <c r="F102" s="19" t="s">
        <v>23</v>
      </c>
      <c r="G102" s="20">
        <v>16377407</v>
      </c>
      <c r="H102" s="20">
        <v>-1420874.5</v>
      </c>
      <c r="I102" s="20">
        <f>G102+H102</f>
        <v>14956532.5</v>
      </c>
      <c r="J102" s="20">
        <v>16377407</v>
      </c>
      <c r="K102" s="20">
        <v>0</v>
      </c>
      <c r="L102" s="20">
        <f>J102+K102</f>
        <v>16377407</v>
      </c>
      <c r="M102" s="20">
        <v>16377407</v>
      </c>
      <c r="N102" s="20">
        <v>0</v>
      </c>
      <c r="O102" s="20">
        <f>M102+N102</f>
        <v>16377407</v>
      </c>
    </row>
    <row r="103" spans="1:15" s="14" customFormat="1" ht="12" customHeight="1" x14ac:dyDescent="0.2">
      <c r="A103" s="18" t="s">
        <v>40</v>
      </c>
      <c r="B103" s="19">
        <v>801</v>
      </c>
      <c r="C103" s="19" t="s">
        <v>32</v>
      </c>
      <c r="D103" s="19" t="s">
        <v>91</v>
      </c>
      <c r="E103" s="19" t="s">
        <v>89</v>
      </c>
      <c r="F103" s="19">
        <v>800</v>
      </c>
      <c r="G103" s="20">
        <v>0</v>
      </c>
      <c r="H103" s="20">
        <v>1420874.5</v>
      </c>
      <c r="I103" s="20">
        <f>G103+H103</f>
        <v>1420874.5</v>
      </c>
      <c r="J103" s="20">
        <v>0</v>
      </c>
      <c r="K103" s="20">
        <v>0</v>
      </c>
      <c r="L103" s="20">
        <f>J103+K103</f>
        <v>0</v>
      </c>
      <c r="M103" s="20">
        <v>0</v>
      </c>
      <c r="N103" s="20">
        <v>0</v>
      </c>
      <c r="O103" s="20">
        <f>M103+N103</f>
        <v>0</v>
      </c>
    </row>
    <row r="104" spans="1:15" s="2" customFormat="1" ht="15.75" customHeight="1" x14ac:dyDescent="0.2">
      <c r="A104" s="11" t="s">
        <v>92</v>
      </c>
      <c r="B104" s="12" t="s">
        <v>10</v>
      </c>
      <c r="C104" s="12" t="s">
        <v>32</v>
      </c>
      <c r="D104" s="12" t="s">
        <v>93</v>
      </c>
      <c r="E104" s="12" t="s">
        <v>0</v>
      </c>
      <c r="F104" s="12" t="s">
        <v>0</v>
      </c>
      <c r="G104" s="13">
        <f>G105+G109+G113</f>
        <v>3091831</v>
      </c>
      <c r="H104" s="13">
        <f>H105+H109+H113</f>
        <v>325947.68</v>
      </c>
      <c r="I104" s="13">
        <f>I105+I109+I113</f>
        <v>3417778.68</v>
      </c>
      <c r="J104" s="13">
        <f t="shared" ref="J104:L104" si="85">J105+J109+J113</f>
        <v>1995023</v>
      </c>
      <c r="K104" s="13">
        <v>0</v>
      </c>
      <c r="L104" s="13">
        <f t="shared" si="85"/>
        <v>1995023</v>
      </c>
      <c r="M104" s="13">
        <f>M105+M109+M113</f>
        <v>1750683</v>
      </c>
      <c r="N104" s="13">
        <v>0</v>
      </c>
      <c r="O104" s="13">
        <f>O105+O109+O113</f>
        <v>1750683</v>
      </c>
    </row>
    <row r="105" spans="1:15" s="2" customFormat="1" ht="12.75" hidden="1" customHeight="1" outlineLevel="1" x14ac:dyDescent="0.2">
      <c r="A105" s="11" t="s">
        <v>14</v>
      </c>
      <c r="B105" s="12" t="s">
        <v>10</v>
      </c>
      <c r="C105" s="12" t="s">
        <v>32</v>
      </c>
      <c r="D105" s="12" t="s">
        <v>93</v>
      </c>
      <c r="E105" s="12" t="s">
        <v>15</v>
      </c>
      <c r="F105" s="12" t="s">
        <v>0</v>
      </c>
      <c r="G105" s="13">
        <f t="shared" ref="G105:L107" si="86">G106</f>
        <v>0</v>
      </c>
      <c r="H105" s="13"/>
      <c r="I105" s="13">
        <f t="shared" si="86"/>
        <v>0</v>
      </c>
      <c r="J105" s="13">
        <f t="shared" si="86"/>
        <v>0</v>
      </c>
      <c r="K105" s="13"/>
      <c r="L105" s="13">
        <f t="shared" si="86"/>
        <v>0</v>
      </c>
      <c r="M105" s="13">
        <f>M106</f>
        <v>0</v>
      </c>
      <c r="N105" s="13"/>
      <c r="O105" s="13">
        <f>O106</f>
        <v>0</v>
      </c>
    </row>
    <row r="106" spans="1:15" s="2" customFormat="1" ht="18" hidden="1" customHeight="1" outlineLevel="1" x14ac:dyDescent="0.2">
      <c r="A106" s="11" t="s">
        <v>44</v>
      </c>
      <c r="B106" s="12" t="s">
        <v>10</v>
      </c>
      <c r="C106" s="12" t="s">
        <v>32</v>
      </c>
      <c r="D106" s="12" t="s">
        <v>93</v>
      </c>
      <c r="E106" s="12" t="s">
        <v>45</v>
      </c>
      <c r="F106" s="12" t="s">
        <v>0</v>
      </c>
      <c r="G106" s="13">
        <f t="shared" si="86"/>
        <v>0</v>
      </c>
      <c r="H106" s="13"/>
      <c r="I106" s="13">
        <f t="shared" si="86"/>
        <v>0</v>
      </c>
      <c r="J106" s="13">
        <f t="shared" si="86"/>
        <v>0</v>
      </c>
      <c r="K106" s="13"/>
      <c r="L106" s="13">
        <f t="shared" si="86"/>
        <v>0</v>
      </c>
      <c r="M106" s="13">
        <f>M107</f>
        <v>0</v>
      </c>
      <c r="N106" s="13"/>
      <c r="O106" s="13">
        <f>O107</f>
        <v>0</v>
      </c>
    </row>
    <row r="107" spans="1:15" s="2" customFormat="1" ht="20.25" hidden="1" customHeight="1" outlineLevel="1" x14ac:dyDescent="0.2">
      <c r="A107" s="15" t="s">
        <v>70</v>
      </c>
      <c r="B107" s="16" t="s">
        <v>10</v>
      </c>
      <c r="C107" s="16" t="s">
        <v>32</v>
      </c>
      <c r="D107" s="16" t="s">
        <v>93</v>
      </c>
      <c r="E107" s="16" t="s">
        <v>71</v>
      </c>
      <c r="F107" s="16" t="s">
        <v>0</v>
      </c>
      <c r="G107" s="17">
        <f t="shared" si="86"/>
        <v>0</v>
      </c>
      <c r="H107" s="17"/>
      <c r="I107" s="17">
        <f t="shared" si="86"/>
        <v>0</v>
      </c>
      <c r="J107" s="17">
        <f t="shared" si="86"/>
        <v>0</v>
      </c>
      <c r="K107" s="17"/>
      <c r="L107" s="17">
        <f t="shared" si="86"/>
        <v>0</v>
      </c>
      <c r="M107" s="17">
        <f>M108</f>
        <v>0</v>
      </c>
      <c r="N107" s="17"/>
      <c r="O107" s="17">
        <f>O108</f>
        <v>0</v>
      </c>
    </row>
    <row r="108" spans="1:15" s="2" customFormat="1" ht="25.5" hidden="1" outlineLevel="1" x14ac:dyDescent="0.2">
      <c r="A108" s="54" t="s">
        <v>249</v>
      </c>
      <c r="B108" s="19" t="s">
        <v>10</v>
      </c>
      <c r="C108" s="19" t="s">
        <v>32</v>
      </c>
      <c r="D108" s="19" t="s">
        <v>93</v>
      </c>
      <c r="E108" s="19" t="s">
        <v>71</v>
      </c>
      <c r="F108" s="19">
        <v>600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</row>
    <row r="109" spans="1:15" s="2" customFormat="1" ht="25.5" collapsed="1" x14ac:dyDescent="0.2">
      <c r="A109" s="11" t="s">
        <v>94</v>
      </c>
      <c r="B109" s="12" t="s">
        <v>10</v>
      </c>
      <c r="C109" s="12" t="s">
        <v>32</v>
      </c>
      <c r="D109" s="12" t="s">
        <v>93</v>
      </c>
      <c r="E109" s="12" t="s">
        <v>95</v>
      </c>
      <c r="F109" s="12" t="s">
        <v>0</v>
      </c>
      <c r="G109" s="13">
        <f t="shared" ref="G109:O111" si="87">G110</f>
        <v>2391831</v>
      </c>
      <c r="H109" s="13">
        <f t="shared" si="87"/>
        <v>325947.68</v>
      </c>
      <c r="I109" s="13">
        <f t="shared" si="87"/>
        <v>2717778.68</v>
      </c>
      <c r="J109" s="13">
        <f t="shared" ref="J109:L110" si="88">J110</f>
        <v>1295023</v>
      </c>
      <c r="K109" s="13">
        <v>0</v>
      </c>
      <c r="L109" s="13">
        <f t="shared" si="88"/>
        <v>1295023</v>
      </c>
      <c r="M109" s="13">
        <f>M110</f>
        <v>1050683</v>
      </c>
      <c r="N109" s="13">
        <v>0</v>
      </c>
      <c r="O109" s="13">
        <f>O110</f>
        <v>1050683</v>
      </c>
    </row>
    <row r="110" spans="1:15" s="2" customFormat="1" ht="25.5" x14ac:dyDescent="0.2">
      <c r="A110" s="11" t="s">
        <v>96</v>
      </c>
      <c r="B110" s="12" t="s">
        <v>10</v>
      </c>
      <c r="C110" s="12" t="s">
        <v>32</v>
      </c>
      <c r="D110" s="12" t="s">
        <v>93</v>
      </c>
      <c r="E110" s="12" t="s">
        <v>97</v>
      </c>
      <c r="F110" s="12" t="s">
        <v>0</v>
      </c>
      <c r="G110" s="13">
        <f t="shared" si="87"/>
        <v>2391831</v>
      </c>
      <c r="H110" s="13">
        <f t="shared" si="87"/>
        <v>325947.68</v>
      </c>
      <c r="I110" s="13">
        <f t="shared" si="87"/>
        <v>2717778.68</v>
      </c>
      <c r="J110" s="13">
        <f t="shared" si="88"/>
        <v>1295023</v>
      </c>
      <c r="K110" s="13">
        <v>0</v>
      </c>
      <c r="L110" s="13">
        <f t="shared" si="88"/>
        <v>1295023</v>
      </c>
      <c r="M110" s="13">
        <f>M111</f>
        <v>1050683</v>
      </c>
      <c r="N110" s="13">
        <v>0</v>
      </c>
      <c r="O110" s="13">
        <f>O111</f>
        <v>1050683</v>
      </c>
    </row>
    <row r="111" spans="1:15" s="2" customFormat="1" ht="27" x14ac:dyDescent="0.2">
      <c r="A111" s="15" t="s">
        <v>98</v>
      </c>
      <c r="B111" s="16" t="s">
        <v>10</v>
      </c>
      <c r="C111" s="16" t="s">
        <v>32</v>
      </c>
      <c r="D111" s="16" t="s">
        <v>93</v>
      </c>
      <c r="E111" s="16" t="s">
        <v>99</v>
      </c>
      <c r="F111" s="16" t="s">
        <v>0</v>
      </c>
      <c r="G111" s="17">
        <f t="shared" si="87"/>
        <v>2391831</v>
      </c>
      <c r="H111" s="17">
        <f t="shared" si="87"/>
        <v>325947.68</v>
      </c>
      <c r="I111" s="17">
        <f t="shared" si="87"/>
        <v>2717778.68</v>
      </c>
      <c r="J111" s="17">
        <f t="shared" si="87"/>
        <v>1295023</v>
      </c>
      <c r="K111" s="17">
        <f t="shared" si="87"/>
        <v>0</v>
      </c>
      <c r="L111" s="17">
        <f t="shared" si="87"/>
        <v>1295023</v>
      </c>
      <c r="M111" s="17">
        <f t="shared" si="87"/>
        <v>1050683</v>
      </c>
      <c r="N111" s="17">
        <f t="shared" si="87"/>
        <v>0</v>
      </c>
      <c r="O111" s="17">
        <f t="shared" si="87"/>
        <v>1050683</v>
      </c>
    </row>
    <row r="112" spans="1:15" s="2" customFormat="1" x14ac:dyDescent="0.2">
      <c r="A112" s="18" t="s">
        <v>22</v>
      </c>
      <c r="B112" s="19" t="s">
        <v>10</v>
      </c>
      <c r="C112" s="19" t="s">
        <v>32</v>
      </c>
      <c r="D112" s="19" t="s">
        <v>93</v>
      </c>
      <c r="E112" s="19" t="s">
        <v>99</v>
      </c>
      <c r="F112" s="19" t="s">
        <v>23</v>
      </c>
      <c r="G112" s="20">
        <v>2391831</v>
      </c>
      <c r="H112" s="20">
        <v>325947.68</v>
      </c>
      <c r="I112" s="20">
        <f>G112+H112</f>
        <v>2717778.68</v>
      </c>
      <c r="J112" s="20">
        <v>1295023</v>
      </c>
      <c r="K112" s="20">
        <v>0</v>
      </c>
      <c r="L112" s="20">
        <v>1295023</v>
      </c>
      <c r="M112" s="20">
        <v>1050683</v>
      </c>
      <c r="N112" s="20">
        <v>0</v>
      </c>
      <c r="O112" s="20">
        <v>1050683</v>
      </c>
    </row>
    <row r="113" spans="1:15" s="2" customFormat="1" x14ac:dyDescent="0.2">
      <c r="A113" s="11" t="s">
        <v>100</v>
      </c>
      <c r="B113" s="12" t="s">
        <v>10</v>
      </c>
      <c r="C113" s="12" t="s">
        <v>32</v>
      </c>
      <c r="D113" s="12" t="s">
        <v>93</v>
      </c>
      <c r="E113" s="12" t="s">
        <v>101</v>
      </c>
      <c r="F113" s="12" t="s">
        <v>0</v>
      </c>
      <c r="G113" s="13">
        <f t="shared" ref="G113:L113" si="89">G114</f>
        <v>700000</v>
      </c>
      <c r="H113" s="13">
        <v>0</v>
      </c>
      <c r="I113" s="13">
        <f t="shared" si="89"/>
        <v>700000</v>
      </c>
      <c r="J113" s="13">
        <f t="shared" si="89"/>
        <v>700000</v>
      </c>
      <c r="K113" s="13">
        <v>0</v>
      </c>
      <c r="L113" s="13">
        <f t="shared" si="89"/>
        <v>700000</v>
      </c>
      <c r="M113" s="13">
        <f>M114</f>
        <v>700000</v>
      </c>
      <c r="N113" s="13">
        <v>0</v>
      </c>
      <c r="O113" s="13">
        <f>O114</f>
        <v>700000</v>
      </c>
    </row>
    <row r="114" spans="1:15" s="2" customFormat="1" x14ac:dyDescent="0.2">
      <c r="A114" s="11" t="s">
        <v>100</v>
      </c>
      <c r="B114" s="12" t="s">
        <v>10</v>
      </c>
      <c r="C114" s="12" t="s">
        <v>32</v>
      </c>
      <c r="D114" s="12" t="s">
        <v>93</v>
      </c>
      <c r="E114" s="12" t="s">
        <v>102</v>
      </c>
      <c r="F114" s="12" t="s">
        <v>0</v>
      </c>
      <c r="G114" s="13">
        <f t="shared" ref="G114:J114" si="90">G115+G118</f>
        <v>700000</v>
      </c>
      <c r="H114" s="13">
        <v>0</v>
      </c>
      <c r="I114" s="13">
        <f t="shared" ref="I114" si="91">I115+I118</f>
        <v>700000</v>
      </c>
      <c r="J114" s="13">
        <f t="shared" si="90"/>
        <v>700000</v>
      </c>
      <c r="K114" s="13">
        <v>0</v>
      </c>
      <c r="L114" s="13">
        <f t="shared" ref="L114" si="92">L115+L118</f>
        <v>700000</v>
      </c>
      <c r="M114" s="13">
        <f>M115+M118</f>
        <v>700000</v>
      </c>
      <c r="N114" s="13">
        <v>0</v>
      </c>
      <c r="O114" s="13">
        <f>O115+O118</f>
        <v>700000</v>
      </c>
    </row>
    <row r="115" spans="1:15" s="2" customFormat="1" ht="13.5" customHeight="1" x14ac:dyDescent="0.2">
      <c r="A115" s="15" t="s">
        <v>103</v>
      </c>
      <c r="B115" s="16" t="s">
        <v>10</v>
      </c>
      <c r="C115" s="16" t="s">
        <v>32</v>
      </c>
      <c r="D115" s="16" t="s">
        <v>93</v>
      </c>
      <c r="E115" s="16" t="s">
        <v>104</v>
      </c>
      <c r="F115" s="16" t="s">
        <v>0</v>
      </c>
      <c r="G115" s="17">
        <f t="shared" ref="G115:J115" si="93">G116+G117</f>
        <v>500000</v>
      </c>
      <c r="H115" s="17">
        <v>0</v>
      </c>
      <c r="I115" s="17">
        <f t="shared" ref="I115" si="94">I116+I117</f>
        <v>500000</v>
      </c>
      <c r="J115" s="17">
        <f t="shared" si="93"/>
        <v>500000</v>
      </c>
      <c r="K115" s="17">
        <v>0</v>
      </c>
      <c r="L115" s="17">
        <f t="shared" ref="L115" si="95">L116+L117</f>
        <v>500000</v>
      </c>
      <c r="M115" s="17">
        <f>M116+M117</f>
        <v>500000</v>
      </c>
      <c r="N115" s="17">
        <v>0</v>
      </c>
      <c r="O115" s="17">
        <f>O116+O117</f>
        <v>500000</v>
      </c>
    </row>
    <row r="116" spans="1:15" s="2" customFormat="1" x14ac:dyDescent="0.2">
      <c r="A116" s="18" t="s">
        <v>22</v>
      </c>
      <c r="B116" s="19" t="s">
        <v>10</v>
      </c>
      <c r="C116" s="19" t="s">
        <v>32</v>
      </c>
      <c r="D116" s="19" t="s">
        <v>93</v>
      </c>
      <c r="E116" s="19" t="s">
        <v>104</v>
      </c>
      <c r="F116" s="19" t="s">
        <v>23</v>
      </c>
      <c r="G116" s="20">
        <v>18000</v>
      </c>
      <c r="H116" s="20">
        <v>0</v>
      </c>
      <c r="I116" s="20">
        <v>18000</v>
      </c>
      <c r="J116" s="20">
        <v>18000</v>
      </c>
      <c r="K116" s="20">
        <v>0</v>
      </c>
      <c r="L116" s="20">
        <v>18000</v>
      </c>
      <c r="M116" s="20">
        <v>18000</v>
      </c>
      <c r="N116" s="20">
        <v>0</v>
      </c>
      <c r="O116" s="20">
        <v>18000</v>
      </c>
    </row>
    <row r="117" spans="1:15" s="2" customFormat="1" x14ac:dyDescent="0.2">
      <c r="A117" s="18" t="s">
        <v>40</v>
      </c>
      <c r="B117" s="19" t="s">
        <v>10</v>
      </c>
      <c r="C117" s="19" t="s">
        <v>32</v>
      </c>
      <c r="D117" s="19" t="s">
        <v>93</v>
      </c>
      <c r="E117" s="19" t="s">
        <v>104</v>
      </c>
      <c r="F117" s="19" t="s">
        <v>41</v>
      </c>
      <c r="G117" s="20">
        <f>82000+400000</f>
        <v>482000</v>
      </c>
      <c r="H117" s="20">
        <v>0</v>
      </c>
      <c r="I117" s="20">
        <f>82000+400000</f>
        <v>482000</v>
      </c>
      <c r="J117" s="20">
        <v>482000</v>
      </c>
      <c r="K117" s="20">
        <v>0</v>
      </c>
      <c r="L117" s="20">
        <v>482000</v>
      </c>
      <c r="M117" s="20">
        <v>482000</v>
      </c>
      <c r="N117" s="20">
        <v>0</v>
      </c>
      <c r="O117" s="20">
        <v>482000</v>
      </c>
    </row>
    <row r="118" spans="1:15" s="2" customFormat="1" ht="27" x14ac:dyDescent="0.2">
      <c r="A118" s="15" t="s">
        <v>105</v>
      </c>
      <c r="B118" s="16" t="s">
        <v>10</v>
      </c>
      <c r="C118" s="16" t="s">
        <v>32</v>
      </c>
      <c r="D118" s="16" t="s">
        <v>93</v>
      </c>
      <c r="E118" s="16" t="s">
        <v>106</v>
      </c>
      <c r="F118" s="16" t="s">
        <v>0</v>
      </c>
      <c r="G118" s="17">
        <f t="shared" ref="G118:L118" si="96">G119</f>
        <v>200000</v>
      </c>
      <c r="H118" s="17">
        <v>0</v>
      </c>
      <c r="I118" s="17">
        <f t="shared" si="96"/>
        <v>200000</v>
      </c>
      <c r="J118" s="17">
        <f t="shared" si="96"/>
        <v>200000</v>
      </c>
      <c r="K118" s="17">
        <v>0</v>
      </c>
      <c r="L118" s="17">
        <f t="shared" si="96"/>
        <v>200000</v>
      </c>
      <c r="M118" s="17">
        <f>M119</f>
        <v>200000</v>
      </c>
      <c r="N118" s="17">
        <v>0</v>
      </c>
      <c r="O118" s="17">
        <f>O119</f>
        <v>200000</v>
      </c>
    </row>
    <row r="119" spans="1:15" s="2" customFormat="1" x14ac:dyDescent="0.2">
      <c r="A119" s="18" t="s">
        <v>40</v>
      </c>
      <c r="B119" s="19" t="s">
        <v>10</v>
      </c>
      <c r="C119" s="19" t="s">
        <v>32</v>
      </c>
      <c r="D119" s="19" t="s">
        <v>93</v>
      </c>
      <c r="E119" s="19" t="s">
        <v>106</v>
      </c>
      <c r="F119" s="19" t="s">
        <v>41</v>
      </c>
      <c r="G119" s="20">
        <v>200000</v>
      </c>
      <c r="H119" s="20">
        <v>0</v>
      </c>
      <c r="I119" s="20">
        <v>200000</v>
      </c>
      <c r="J119" s="20">
        <v>200000</v>
      </c>
      <c r="K119" s="20">
        <v>0</v>
      </c>
      <c r="L119" s="20">
        <v>200000</v>
      </c>
      <c r="M119" s="20">
        <v>200000</v>
      </c>
      <c r="N119" s="20">
        <v>0</v>
      </c>
      <c r="O119" s="20">
        <v>200000</v>
      </c>
    </row>
    <row r="120" spans="1:15" s="2" customFormat="1" x14ac:dyDescent="0.2">
      <c r="A120" s="11" t="s">
        <v>222</v>
      </c>
      <c r="B120" s="12" t="s">
        <v>10</v>
      </c>
      <c r="C120" s="12" t="s">
        <v>107</v>
      </c>
      <c r="D120" s="12" t="s">
        <v>0</v>
      </c>
      <c r="E120" s="12" t="s">
        <v>0</v>
      </c>
      <c r="F120" s="12" t="s">
        <v>0</v>
      </c>
      <c r="G120" s="13">
        <f>G121+G132</f>
        <v>350000000</v>
      </c>
      <c r="H120" s="13">
        <f>H121+H132</f>
        <v>-19197184.25</v>
      </c>
      <c r="I120" s="13">
        <f>I121+I132</f>
        <v>330802815.75</v>
      </c>
      <c r="J120" s="13">
        <f>J121+J132</f>
        <v>0</v>
      </c>
      <c r="K120" s="13">
        <v>0</v>
      </c>
      <c r="L120" s="13">
        <f>L121+L132</f>
        <v>0</v>
      </c>
      <c r="M120" s="13">
        <f>M121+M132</f>
        <v>0</v>
      </c>
      <c r="N120" s="13">
        <v>0</v>
      </c>
      <c r="O120" s="13">
        <f>O121+O132</f>
        <v>0</v>
      </c>
    </row>
    <row r="121" spans="1:15" s="2" customFormat="1" x14ac:dyDescent="0.2">
      <c r="A121" s="11" t="s">
        <v>108</v>
      </c>
      <c r="B121" s="12" t="s">
        <v>10</v>
      </c>
      <c r="C121" s="12" t="s">
        <v>107</v>
      </c>
      <c r="D121" s="12" t="s">
        <v>11</v>
      </c>
      <c r="E121" s="12" t="s">
        <v>0</v>
      </c>
      <c r="F121" s="12" t="s">
        <v>0</v>
      </c>
      <c r="G121" s="13">
        <f t="shared" ref="G121:I122" si="97">G122</f>
        <v>300000000</v>
      </c>
      <c r="H121" s="13">
        <f t="shared" si="97"/>
        <v>-19696974.25</v>
      </c>
      <c r="I121" s="13">
        <f t="shared" si="97"/>
        <v>280303025.75</v>
      </c>
      <c r="J121" s="13">
        <f t="shared" ref="J121:L122" si="98">J122</f>
        <v>0</v>
      </c>
      <c r="K121" s="13">
        <v>0</v>
      </c>
      <c r="L121" s="13">
        <f t="shared" si="98"/>
        <v>0</v>
      </c>
      <c r="M121" s="13">
        <f>M122</f>
        <v>0</v>
      </c>
      <c r="N121" s="13">
        <v>0</v>
      </c>
      <c r="O121" s="13">
        <f>O122</f>
        <v>0</v>
      </c>
    </row>
    <row r="122" spans="1:15" s="2" customFormat="1" ht="25.5" x14ac:dyDescent="0.2">
      <c r="A122" s="11" t="s">
        <v>94</v>
      </c>
      <c r="B122" s="12" t="s">
        <v>10</v>
      </c>
      <c r="C122" s="12" t="s">
        <v>107</v>
      </c>
      <c r="D122" s="12" t="s">
        <v>11</v>
      </c>
      <c r="E122" s="12" t="s">
        <v>95</v>
      </c>
      <c r="F122" s="12" t="s">
        <v>0</v>
      </c>
      <c r="G122" s="13">
        <f t="shared" si="97"/>
        <v>300000000</v>
      </c>
      <c r="H122" s="13">
        <f t="shared" si="97"/>
        <v>-19696974.25</v>
      </c>
      <c r="I122" s="13">
        <f t="shared" si="97"/>
        <v>280303025.75</v>
      </c>
      <c r="J122" s="13">
        <f t="shared" si="98"/>
        <v>0</v>
      </c>
      <c r="K122" s="13">
        <v>0</v>
      </c>
      <c r="L122" s="13">
        <f t="shared" si="98"/>
        <v>0</v>
      </c>
      <c r="M122" s="13">
        <f>M123</f>
        <v>0</v>
      </c>
      <c r="N122" s="13">
        <v>0</v>
      </c>
      <c r="O122" s="13">
        <f>O123</f>
        <v>0</v>
      </c>
    </row>
    <row r="123" spans="1:15" s="2" customFormat="1" x14ac:dyDescent="0.2">
      <c r="A123" s="11" t="s">
        <v>111</v>
      </c>
      <c r="B123" s="12" t="s">
        <v>10</v>
      </c>
      <c r="C123" s="12" t="s">
        <v>107</v>
      </c>
      <c r="D123" s="12" t="s">
        <v>11</v>
      </c>
      <c r="E123" s="12" t="s">
        <v>112</v>
      </c>
      <c r="F123" s="12" t="s">
        <v>0</v>
      </c>
      <c r="G123" s="13">
        <f>G124+G128</f>
        <v>300000000</v>
      </c>
      <c r="H123" s="13">
        <f>H124+H128</f>
        <v>-19696974.25</v>
      </c>
      <c r="I123" s="13">
        <f>I124+I128</f>
        <v>280303025.75</v>
      </c>
      <c r="J123" s="13">
        <f t="shared" ref="J123:O123" si="99">J124+J128</f>
        <v>0</v>
      </c>
      <c r="K123" s="13">
        <f t="shared" si="99"/>
        <v>0</v>
      </c>
      <c r="L123" s="13">
        <f t="shared" si="99"/>
        <v>0</v>
      </c>
      <c r="M123" s="13">
        <f t="shared" si="99"/>
        <v>0</v>
      </c>
      <c r="N123" s="13">
        <f t="shared" si="99"/>
        <v>0</v>
      </c>
      <c r="O123" s="13">
        <f t="shared" si="99"/>
        <v>0</v>
      </c>
    </row>
    <row r="124" spans="1:15" s="2" customFormat="1" ht="13.5" x14ac:dyDescent="0.2">
      <c r="A124" s="15" t="s">
        <v>235</v>
      </c>
      <c r="B124" s="16" t="s">
        <v>10</v>
      </c>
      <c r="C124" s="16" t="s">
        <v>107</v>
      </c>
      <c r="D124" s="16" t="s">
        <v>11</v>
      </c>
      <c r="E124" s="16" t="s">
        <v>234</v>
      </c>
      <c r="F124" s="16" t="s">
        <v>0</v>
      </c>
      <c r="G124" s="17">
        <f>G125+G126+G127</f>
        <v>300000000</v>
      </c>
      <c r="H124" s="17">
        <f>H125+H126+H127</f>
        <v>-19696974.25</v>
      </c>
      <c r="I124" s="17">
        <f>I125+I126+I127</f>
        <v>280303025.75</v>
      </c>
      <c r="J124" s="17">
        <f t="shared" ref="J124:O124" si="100">J125+J126+J127</f>
        <v>0</v>
      </c>
      <c r="K124" s="17">
        <f t="shared" si="100"/>
        <v>0</v>
      </c>
      <c r="L124" s="17">
        <f t="shared" si="100"/>
        <v>0</v>
      </c>
      <c r="M124" s="17">
        <f t="shared" si="100"/>
        <v>0</v>
      </c>
      <c r="N124" s="17">
        <f t="shared" si="100"/>
        <v>0</v>
      </c>
      <c r="O124" s="17">
        <f t="shared" si="100"/>
        <v>0</v>
      </c>
    </row>
    <row r="125" spans="1:15" s="2" customFormat="1" ht="21.75" customHeight="1" x14ac:dyDescent="0.2">
      <c r="A125" s="18" t="s">
        <v>22</v>
      </c>
      <c r="B125" s="19" t="s">
        <v>10</v>
      </c>
      <c r="C125" s="19" t="s">
        <v>107</v>
      </c>
      <c r="D125" s="19" t="s">
        <v>11</v>
      </c>
      <c r="E125" s="19" t="s">
        <v>234</v>
      </c>
      <c r="F125" s="19" t="s">
        <v>23</v>
      </c>
      <c r="G125" s="20">
        <v>0</v>
      </c>
      <c r="H125" s="20">
        <v>652000</v>
      </c>
      <c r="I125" s="20">
        <f>G125+H125</f>
        <v>652000</v>
      </c>
      <c r="J125" s="20">
        <v>0</v>
      </c>
      <c r="K125" s="20">
        <v>0</v>
      </c>
      <c r="L125" s="20">
        <f>J125+K125</f>
        <v>0</v>
      </c>
      <c r="M125" s="20">
        <v>0</v>
      </c>
      <c r="N125" s="20">
        <v>0</v>
      </c>
      <c r="O125" s="20">
        <f>M125+N125</f>
        <v>0</v>
      </c>
    </row>
    <row r="126" spans="1:15" s="2" customFormat="1" ht="14.25" customHeight="1" x14ac:dyDescent="0.2">
      <c r="A126" s="6" t="s">
        <v>271</v>
      </c>
      <c r="B126" s="19" t="s">
        <v>10</v>
      </c>
      <c r="C126" s="19" t="s">
        <v>107</v>
      </c>
      <c r="D126" s="19" t="s">
        <v>11</v>
      </c>
      <c r="E126" s="19" t="s">
        <v>234</v>
      </c>
      <c r="F126" s="19" t="s">
        <v>39</v>
      </c>
      <c r="G126" s="20">
        <v>300000000</v>
      </c>
      <c r="H126" s="20">
        <v>-35645974.25</v>
      </c>
      <c r="I126" s="20">
        <f>G126+H126</f>
        <v>264354025.75</v>
      </c>
      <c r="J126" s="20">
        <v>0</v>
      </c>
      <c r="K126" s="20">
        <v>0</v>
      </c>
      <c r="L126" s="20">
        <f>J126+K126</f>
        <v>0</v>
      </c>
      <c r="M126" s="20">
        <v>0</v>
      </c>
      <c r="N126" s="20">
        <v>0</v>
      </c>
      <c r="O126" s="20">
        <f>M126+N126</f>
        <v>0</v>
      </c>
    </row>
    <row r="127" spans="1:15" s="2" customFormat="1" ht="15.75" customHeight="1" x14ac:dyDescent="0.2">
      <c r="A127" s="18" t="s">
        <v>40</v>
      </c>
      <c r="B127" s="19" t="s">
        <v>10</v>
      </c>
      <c r="C127" s="19" t="s">
        <v>107</v>
      </c>
      <c r="D127" s="19" t="s">
        <v>11</v>
      </c>
      <c r="E127" s="19" t="s">
        <v>234</v>
      </c>
      <c r="F127" s="19" t="s">
        <v>41</v>
      </c>
      <c r="G127" s="20">
        <v>0</v>
      </c>
      <c r="H127" s="20">
        <v>15297000</v>
      </c>
      <c r="I127" s="20">
        <f>G127+H127</f>
        <v>15297000</v>
      </c>
      <c r="J127" s="20">
        <v>0</v>
      </c>
      <c r="K127" s="20">
        <v>0</v>
      </c>
      <c r="L127" s="20">
        <f>J127+K127</f>
        <v>0</v>
      </c>
      <c r="M127" s="20">
        <v>0</v>
      </c>
      <c r="N127" s="20">
        <v>0</v>
      </c>
      <c r="O127" s="20">
        <f>M127+N127</f>
        <v>0</v>
      </c>
    </row>
    <row r="128" spans="1:15" s="2" customFormat="1" ht="10.5" hidden="1" customHeight="1" outlineLevel="1" x14ac:dyDescent="0.2">
      <c r="A128" s="15" t="s">
        <v>113</v>
      </c>
      <c r="B128" s="16" t="s">
        <v>10</v>
      </c>
      <c r="C128" s="16" t="s">
        <v>107</v>
      </c>
      <c r="D128" s="16" t="s">
        <v>11</v>
      </c>
      <c r="E128" s="16" t="s">
        <v>114</v>
      </c>
      <c r="F128" s="16" t="s">
        <v>0</v>
      </c>
      <c r="G128" s="17">
        <f>G129+G130+G131</f>
        <v>0</v>
      </c>
      <c r="H128" s="17">
        <v>0</v>
      </c>
      <c r="I128" s="17">
        <f>I129+I130+I131</f>
        <v>0</v>
      </c>
      <c r="J128" s="17">
        <f>J129+J130+J131</f>
        <v>0</v>
      </c>
      <c r="K128" s="17">
        <v>0</v>
      </c>
      <c r="L128" s="17">
        <f>L129+L130+L131</f>
        <v>0</v>
      </c>
      <c r="M128" s="17">
        <f>M129+M130+M131</f>
        <v>0</v>
      </c>
      <c r="N128" s="17">
        <v>0</v>
      </c>
      <c r="O128" s="17">
        <f>O129+O130+O131</f>
        <v>0</v>
      </c>
    </row>
    <row r="129" spans="1:15" s="2" customFormat="1" ht="10.5" hidden="1" customHeight="1" outlineLevel="1" x14ac:dyDescent="0.2">
      <c r="A129" s="18" t="s">
        <v>22</v>
      </c>
      <c r="B129" s="19" t="s">
        <v>10</v>
      </c>
      <c r="C129" s="19" t="s">
        <v>107</v>
      </c>
      <c r="D129" s="19" t="s">
        <v>11</v>
      </c>
      <c r="E129" s="19" t="s">
        <v>114</v>
      </c>
      <c r="F129" s="19" t="s">
        <v>23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</row>
    <row r="130" spans="1:15" s="2" customFormat="1" ht="14.25" hidden="1" customHeight="1" outlineLevel="1" x14ac:dyDescent="0.2">
      <c r="A130" s="6" t="s">
        <v>271</v>
      </c>
      <c r="B130" s="19" t="s">
        <v>10</v>
      </c>
      <c r="C130" s="19" t="s">
        <v>107</v>
      </c>
      <c r="D130" s="19" t="s">
        <v>11</v>
      </c>
      <c r="E130" s="19" t="s">
        <v>114</v>
      </c>
      <c r="F130" s="19" t="s">
        <v>39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</row>
    <row r="131" spans="1:15" s="2" customFormat="1" ht="14.25" hidden="1" customHeight="1" outlineLevel="1" x14ac:dyDescent="0.2">
      <c r="A131" s="18" t="s">
        <v>40</v>
      </c>
      <c r="B131" s="19" t="s">
        <v>10</v>
      </c>
      <c r="C131" s="19" t="s">
        <v>107</v>
      </c>
      <c r="D131" s="19" t="s">
        <v>11</v>
      </c>
      <c r="E131" s="19" t="s">
        <v>114</v>
      </c>
      <c r="F131" s="19" t="s">
        <v>41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</row>
    <row r="132" spans="1:15" s="2" customFormat="1" ht="14.45" customHeight="1" collapsed="1" x14ac:dyDescent="0.2">
      <c r="A132" s="59" t="s">
        <v>192</v>
      </c>
      <c r="B132" s="12" t="s">
        <v>10</v>
      </c>
      <c r="C132" s="12" t="s">
        <v>107</v>
      </c>
      <c r="D132" s="12" t="s">
        <v>13</v>
      </c>
      <c r="E132" s="12" t="s">
        <v>0</v>
      </c>
      <c r="F132" s="12" t="s">
        <v>0</v>
      </c>
      <c r="G132" s="13">
        <f t="shared" ref="G132:L134" si="101">G133</f>
        <v>50000000</v>
      </c>
      <c r="H132" s="13">
        <f t="shared" si="101"/>
        <v>499790</v>
      </c>
      <c r="I132" s="13">
        <f t="shared" si="101"/>
        <v>50499790</v>
      </c>
      <c r="J132" s="13">
        <f t="shared" si="101"/>
        <v>0</v>
      </c>
      <c r="K132" s="13">
        <v>0</v>
      </c>
      <c r="L132" s="13">
        <f t="shared" si="101"/>
        <v>0</v>
      </c>
      <c r="M132" s="13">
        <f>M133</f>
        <v>0</v>
      </c>
      <c r="N132" s="13">
        <v>0</v>
      </c>
      <c r="O132" s="13">
        <f>O133</f>
        <v>0</v>
      </c>
    </row>
    <row r="133" spans="1:15" s="2" customFormat="1" ht="25.5" x14ac:dyDescent="0.2">
      <c r="A133" s="59" t="s">
        <v>171</v>
      </c>
      <c r="B133" s="12" t="s">
        <v>10</v>
      </c>
      <c r="C133" s="12" t="s">
        <v>107</v>
      </c>
      <c r="D133" s="12" t="s">
        <v>13</v>
      </c>
      <c r="E133" s="12" t="s">
        <v>172</v>
      </c>
      <c r="F133" s="12" t="s">
        <v>0</v>
      </c>
      <c r="G133" s="13">
        <f t="shared" si="101"/>
        <v>50000000</v>
      </c>
      <c r="H133" s="13">
        <f>H134</f>
        <v>499790</v>
      </c>
      <c r="I133" s="13">
        <f>I134</f>
        <v>50499790</v>
      </c>
      <c r="J133" s="13">
        <f t="shared" si="101"/>
        <v>0</v>
      </c>
      <c r="K133" s="13">
        <v>0</v>
      </c>
      <c r="L133" s="13">
        <f t="shared" si="101"/>
        <v>0</v>
      </c>
      <c r="M133" s="13">
        <f>M134</f>
        <v>0</v>
      </c>
      <c r="N133" s="13">
        <v>0</v>
      </c>
      <c r="O133" s="13">
        <f>O134</f>
        <v>0</v>
      </c>
    </row>
    <row r="134" spans="1:15" s="2" customFormat="1" x14ac:dyDescent="0.2">
      <c r="A134" s="59" t="s">
        <v>173</v>
      </c>
      <c r="B134" s="12" t="s">
        <v>10</v>
      </c>
      <c r="C134" s="12" t="s">
        <v>107</v>
      </c>
      <c r="D134" s="12" t="s">
        <v>13</v>
      </c>
      <c r="E134" s="12" t="s">
        <v>174</v>
      </c>
      <c r="F134" s="12" t="s">
        <v>0</v>
      </c>
      <c r="G134" s="13">
        <f t="shared" si="101"/>
        <v>50000000</v>
      </c>
      <c r="H134" s="13">
        <f>H137</f>
        <v>499790</v>
      </c>
      <c r="I134" s="13">
        <f>I135+I137</f>
        <v>50499790</v>
      </c>
      <c r="J134" s="13">
        <f t="shared" si="101"/>
        <v>0</v>
      </c>
      <c r="K134" s="13">
        <v>0</v>
      </c>
      <c r="L134" s="13">
        <f t="shared" si="101"/>
        <v>0</v>
      </c>
      <c r="M134" s="13">
        <f>M135</f>
        <v>0</v>
      </c>
      <c r="N134" s="13">
        <v>0</v>
      </c>
      <c r="O134" s="13">
        <f>O135</f>
        <v>0</v>
      </c>
    </row>
    <row r="135" spans="1:15" s="2" customFormat="1" ht="15" customHeight="1" x14ac:dyDescent="0.2">
      <c r="A135" s="51" t="s">
        <v>238</v>
      </c>
      <c r="B135" s="16" t="s">
        <v>10</v>
      </c>
      <c r="C135" s="16" t="s">
        <v>107</v>
      </c>
      <c r="D135" s="16" t="s">
        <v>13</v>
      </c>
      <c r="E135" s="16" t="s">
        <v>237</v>
      </c>
      <c r="F135" s="16" t="s">
        <v>0</v>
      </c>
      <c r="G135" s="17">
        <f t="shared" ref="G135:O137" si="102">G136</f>
        <v>50000000</v>
      </c>
      <c r="H135" s="17">
        <v>0</v>
      </c>
      <c r="I135" s="17">
        <f t="shared" si="102"/>
        <v>50000000</v>
      </c>
      <c r="J135" s="17">
        <f t="shared" si="102"/>
        <v>0</v>
      </c>
      <c r="K135" s="17">
        <v>0</v>
      </c>
      <c r="L135" s="17">
        <f t="shared" si="102"/>
        <v>0</v>
      </c>
      <c r="M135" s="17">
        <f>M136</f>
        <v>0</v>
      </c>
      <c r="N135" s="17">
        <v>0</v>
      </c>
      <c r="O135" s="17">
        <f>O136</f>
        <v>0</v>
      </c>
    </row>
    <row r="136" spans="1:15" s="2" customFormat="1" ht="25.5" x14ac:dyDescent="0.2">
      <c r="A136" s="54" t="s">
        <v>249</v>
      </c>
      <c r="B136" s="53" t="s">
        <v>10</v>
      </c>
      <c r="C136" s="53" t="s">
        <v>107</v>
      </c>
      <c r="D136" s="53" t="s">
        <v>13</v>
      </c>
      <c r="E136" s="53" t="s">
        <v>237</v>
      </c>
      <c r="F136" s="53">
        <v>600</v>
      </c>
      <c r="G136" s="29">
        <v>50000000</v>
      </c>
      <c r="H136" s="29">
        <v>0</v>
      </c>
      <c r="I136" s="29">
        <v>50000000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</row>
    <row r="137" spans="1:15" s="2" customFormat="1" ht="14.25" customHeight="1" x14ac:dyDescent="0.2">
      <c r="A137" s="51" t="s">
        <v>242</v>
      </c>
      <c r="B137" s="12" t="s">
        <v>10</v>
      </c>
      <c r="C137" s="12" t="s">
        <v>107</v>
      </c>
      <c r="D137" s="12" t="s">
        <v>13</v>
      </c>
      <c r="E137" s="52" t="s">
        <v>241</v>
      </c>
      <c r="F137" s="53"/>
      <c r="G137" s="29">
        <v>0</v>
      </c>
      <c r="H137" s="17">
        <f t="shared" si="102"/>
        <v>499790</v>
      </c>
      <c r="I137" s="17">
        <f t="shared" si="102"/>
        <v>499790</v>
      </c>
      <c r="J137" s="17">
        <f t="shared" si="102"/>
        <v>0</v>
      </c>
      <c r="K137" s="17">
        <f t="shared" si="102"/>
        <v>0</v>
      </c>
      <c r="L137" s="17">
        <f t="shared" si="102"/>
        <v>0</v>
      </c>
      <c r="M137" s="17">
        <f t="shared" si="102"/>
        <v>0</v>
      </c>
      <c r="N137" s="17">
        <f t="shared" si="102"/>
        <v>0</v>
      </c>
      <c r="O137" s="17">
        <f t="shared" si="102"/>
        <v>0</v>
      </c>
    </row>
    <row r="138" spans="1:15" s="2" customFormat="1" ht="28.5" customHeight="1" x14ac:dyDescent="0.2">
      <c r="A138" s="54" t="s">
        <v>267</v>
      </c>
      <c r="B138" s="16" t="s">
        <v>10</v>
      </c>
      <c r="C138" s="16" t="s">
        <v>107</v>
      </c>
      <c r="D138" s="16" t="s">
        <v>13</v>
      </c>
      <c r="E138" s="55" t="s">
        <v>241</v>
      </c>
      <c r="F138" s="53">
        <v>600</v>
      </c>
      <c r="G138" s="29">
        <v>0</v>
      </c>
      <c r="H138" s="29">
        <v>499790</v>
      </c>
      <c r="I138" s="29">
        <f>G138+H138</f>
        <v>499790</v>
      </c>
      <c r="J138" s="29">
        <v>0</v>
      </c>
      <c r="K138" s="29">
        <v>0</v>
      </c>
      <c r="L138" s="29">
        <f>J138+K138</f>
        <v>0</v>
      </c>
      <c r="M138" s="29">
        <v>0</v>
      </c>
      <c r="N138" s="29">
        <v>0</v>
      </c>
      <c r="O138" s="29">
        <f>M138+N138</f>
        <v>0</v>
      </c>
    </row>
    <row r="139" spans="1:15" s="2" customFormat="1" ht="14.45" customHeight="1" x14ac:dyDescent="0.2">
      <c r="A139" s="11" t="s">
        <v>223</v>
      </c>
      <c r="B139" s="12" t="s">
        <v>10</v>
      </c>
      <c r="C139" s="12" t="s">
        <v>213</v>
      </c>
      <c r="D139" s="12" t="s">
        <v>0</v>
      </c>
      <c r="E139" s="12" t="s">
        <v>0</v>
      </c>
      <c r="F139" s="12" t="s">
        <v>0</v>
      </c>
      <c r="G139" s="30">
        <f t="shared" ref="G139:L140" si="103">G140</f>
        <v>4528603.67</v>
      </c>
      <c r="H139" s="30">
        <v>0</v>
      </c>
      <c r="I139" s="30">
        <f t="shared" si="103"/>
        <v>4528603.67</v>
      </c>
      <c r="J139" s="30">
        <f t="shared" si="103"/>
        <v>4339947.3</v>
      </c>
      <c r="K139" s="30">
        <v>0</v>
      </c>
      <c r="L139" s="30">
        <f t="shared" si="103"/>
        <v>4339947.3</v>
      </c>
      <c r="M139" s="30">
        <f>M140</f>
        <v>4368464.25</v>
      </c>
      <c r="N139" s="30">
        <v>0</v>
      </c>
      <c r="O139" s="30">
        <f>O140</f>
        <v>4368464.25</v>
      </c>
    </row>
    <row r="140" spans="1:15" s="2" customFormat="1" x14ac:dyDescent="0.2">
      <c r="A140" s="11" t="s">
        <v>214</v>
      </c>
      <c r="B140" s="12" t="s">
        <v>10</v>
      </c>
      <c r="C140" s="12" t="s">
        <v>213</v>
      </c>
      <c r="D140" s="12" t="s">
        <v>213</v>
      </c>
      <c r="E140" s="12" t="s">
        <v>0</v>
      </c>
      <c r="F140" s="12" t="s">
        <v>0</v>
      </c>
      <c r="G140" s="30">
        <f t="shared" si="103"/>
        <v>4528603.67</v>
      </c>
      <c r="H140" s="30">
        <v>0</v>
      </c>
      <c r="I140" s="30">
        <f t="shared" si="103"/>
        <v>4528603.67</v>
      </c>
      <c r="J140" s="30">
        <f t="shared" si="103"/>
        <v>4339947.3</v>
      </c>
      <c r="K140" s="30">
        <v>0</v>
      </c>
      <c r="L140" s="30">
        <f t="shared" si="103"/>
        <v>4339947.3</v>
      </c>
      <c r="M140" s="30">
        <f>M141</f>
        <v>4368464.25</v>
      </c>
      <c r="N140" s="30">
        <v>0</v>
      </c>
      <c r="O140" s="30">
        <f>O141</f>
        <v>4368464.25</v>
      </c>
    </row>
    <row r="141" spans="1:15" s="2" customFormat="1" x14ac:dyDescent="0.2">
      <c r="A141" s="59" t="s">
        <v>209</v>
      </c>
      <c r="B141" s="12" t="s">
        <v>10</v>
      </c>
      <c r="C141" s="52" t="s">
        <v>213</v>
      </c>
      <c r="D141" s="52" t="s">
        <v>213</v>
      </c>
      <c r="E141" s="52" t="s">
        <v>247</v>
      </c>
      <c r="F141" s="52" t="s">
        <v>0</v>
      </c>
      <c r="G141" s="31">
        <f t="shared" ref="G141:L142" si="104">G142</f>
        <v>4528603.67</v>
      </c>
      <c r="H141" s="31">
        <v>0</v>
      </c>
      <c r="I141" s="31">
        <f t="shared" si="104"/>
        <v>4528603.67</v>
      </c>
      <c r="J141" s="31">
        <f t="shared" si="104"/>
        <v>4339947.3</v>
      </c>
      <c r="K141" s="31">
        <v>0</v>
      </c>
      <c r="L141" s="31">
        <f t="shared" si="104"/>
        <v>4339947.3</v>
      </c>
      <c r="M141" s="31">
        <f>M142</f>
        <v>4368464.25</v>
      </c>
      <c r="N141" s="31">
        <v>0</v>
      </c>
      <c r="O141" s="31">
        <f>O142</f>
        <v>4368464.25</v>
      </c>
    </row>
    <row r="142" spans="1:15" s="2" customFormat="1" ht="27" x14ac:dyDescent="0.2">
      <c r="A142" s="51" t="s">
        <v>124</v>
      </c>
      <c r="B142" s="16" t="s">
        <v>10</v>
      </c>
      <c r="C142" s="55" t="s">
        <v>213</v>
      </c>
      <c r="D142" s="55" t="s">
        <v>213</v>
      </c>
      <c r="E142" s="55" t="s">
        <v>248</v>
      </c>
      <c r="F142" s="55" t="s">
        <v>0</v>
      </c>
      <c r="G142" s="32">
        <f t="shared" si="104"/>
        <v>4528603.67</v>
      </c>
      <c r="H142" s="32">
        <v>0</v>
      </c>
      <c r="I142" s="32">
        <f t="shared" si="104"/>
        <v>4528603.67</v>
      </c>
      <c r="J142" s="32">
        <f t="shared" si="104"/>
        <v>4339947.3</v>
      </c>
      <c r="K142" s="32">
        <v>0</v>
      </c>
      <c r="L142" s="32">
        <f t="shared" si="104"/>
        <v>4339947.3</v>
      </c>
      <c r="M142" s="32">
        <f>M143</f>
        <v>4368464.25</v>
      </c>
      <c r="N142" s="32">
        <v>0</v>
      </c>
      <c r="O142" s="32">
        <f>O143</f>
        <v>4368464.25</v>
      </c>
    </row>
    <row r="143" spans="1:15" s="2" customFormat="1" ht="25.5" x14ac:dyDescent="0.2">
      <c r="A143" s="54" t="s">
        <v>249</v>
      </c>
      <c r="B143" s="53" t="s">
        <v>10</v>
      </c>
      <c r="C143" s="53" t="s">
        <v>213</v>
      </c>
      <c r="D143" s="53" t="s">
        <v>213</v>
      </c>
      <c r="E143" s="53" t="s">
        <v>248</v>
      </c>
      <c r="F143" s="53">
        <v>600</v>
      </c>
      <c r="G143" s="29">
        <v>4528603.67</v>
      </c>
      <c r="H143" s="29">
        <v>0</v>
      </c>
      <c r="I143" s="29">
        <v>4528603.67</v>
      </c>
      <c r="J143" s="29">
        <v>4339947.3</v>
      </c>
      <c r="K143" s="29">
        <v>0</v>
      </c>
      <c r="L143" s="29">
        <v>4339947.3</v>
      </c>
      <c r="M143" s="29">
        <v>4368464.25</v>
      </c>
      <c r="N143" s="29">
        <v>0</v>
      </c>
      <c r="O143" s="29">
        <v>4368464.25</v>
      </c>
    </row>
    <row r="144" spans="1:15" s="2" customFormat="1" x14ac:dyDescent="0.2">
      <c r="A144" s="59" t="s">
        <v>224</v>
      </c>
      <c r="B144" s="12" t="s">
        <v>10</v>
      </c>
      <c r="C144" s="12" t="s">
        <v>91</v>
      </c>
      <c r="D144" s="12" t="s">
        <v>0</v>
      </c>
      <c r="E144" s="12" t="s">
        <v>0</v>
      </c>
      <c r="F144" s="12" t="s">
        <v>0</v>
      </c>
      <c r="G144" s="30">
        <f t="shared" ref="G144:L145" si="105">G145</f>
        <v>18470581.309999999</v>
      </c>
      <c r="H144" s="30">
        <v>0</v>
      </c>
      <c r="I144" s="30">
        <f t="shared" si="105"/>
        <v>18470581.309999999</v>
      </c>
      <c r="J144" s="30">
        <f t="shared" si="105"/>
        <v>24262063.050000001</v>
      </c>
      <c r="K144" s="30">
        <v>0</v>
      </c>
      <c r="L144" s="30">
        <f t="shared" si="105"/>
        <v>24262063.050000001</v>
      </c>
      <c r="M144" s="30">
        <f>M145</f>
        <v>24886226.859999999</v>
      </c>
      <c r="N144" s="30">
        <v>0</v>
      </c>
      <c r="O144" s="30">
        <f>O145</f>
        <v>24886226.859999999</v>
      </c>
    </row>
    <row r="145" spans="1:15" s="2" customFormat="1" x14ac:dyDescent="0.2">
      <c r="A145" s="11" t="s">
        <v>215</v>
      </c>
      <c r="B145" s="12" t="s">
        <v>10</v>
      </c>
      <c r="C145" s="12" t="s">
        <v>91</v>
      </c>
      <c r="D145" s="12" t="s">
        <v>32</v>
      </c>
      <c r="E145" s="12" t="s">
        <v>0</v>
      </c>
      <c r="F145" s="12" t="s">
        <v>0</v>
      </c>
      <c r="G145" s="30">
        <f t="shared" si="105"/>
        <v>18470581.309999999</v>
      </c>
      <c r="H145" s="30">
        <v>0</v>
      </c>
      <c r="I145" s="30">
        <f t="shared" si="105"/>
        <v>18470581.309999999</v>
      </c>
      <c r="J145" s="30">
        <f t="shared" si="105"/>
        <v>24262063.050000001</v>
      </c>
      <c r="K145" s="30">
        <v>0</v>
      </c>
      <c r="L145" s="30">
        <f t="shared" si="105"/>
        <v>24262063.050000001</v>
      </c>
      <c r="M145" s="30">
        <f>M146</f>
        <v>24886226.859999999</v>
      </c>
      <c r="N145" s="30">
        <v>0</v>
      </c>
      <c r="O145" s="30">
        <f>O146</f>
        <v>24886226.859999999</v>
      </c>
    </row>
    <row r="146" spans="1:15" s="2" customFormat="1" x14ac:dyDescent="0.2">
      <c r="A146" s="59" t="s">
        <v>209</v>
      </c>
      <c r="B146" s="12" t="s">
        <v>10</v>
      </c>
      <c r="C146" s="12" t="s">
        <v>91</v>
      </c>
      <c r="D146" s="12" t="s">
        <v>32</v>
      </c>
      <c r="E146" s="52" t="s">
        <v>250</v>
      </c>
      <c r="F146" s="52" t="s">
        <v>0</v>
      </c>
      <c r="G146" s="31">
        <f t="shared" ref="G146:L147" si="106">G147</f>
        <v>18470581.309999999</v>
      </c>
      <c r="H146" s="31">
        <v>0</v>
      </c>
      <c r="I146" s="31">
        <f t="shared" si="106"/>
        <v>18470581.309999999</v>
      </c>
      <c r="J146" s="31">
        <f t="shared" si="106"/>
        <v>24262063.050000001</v>
      </c>
      <c r="K146" s="31">
        <v>0</v>
      </c>
      <c r="L146" s="31">
        <f t="shared" si="106"/>
        <v>24262063.050000001</v>
      </c>
      <c r="M146" s="31">
        <f>M147</f>
        <v>24886226.859999999</v>
      </c>
      <c r="N146" s="31">
        <v>0</v>
      </c>
      <c r="O146" s="31">
        <f>O147</f>
        <v>24886226.859999999</v>
      </c>
    </row>
    <row r="147" spans="1:15" s="2" customFormat="1" ht="27" x14ac:dyDescent="0.2">
      <c r="A147" s="51" t="s">
        <v>124</v>
      </c>
      <c r="B147" s="16" t="s">
        <v>10</v>
      </c>
      <c r="C147" s="16" t="s">
        <v>91</v>
      </c>
      <c r="D147" s="16" t="s">
        <v>32</v>
      </c>
      <c r="E147" s="55" t="s">
        <v>251</v>
      </c>
      <c r="F147" s="55" t="s">
        <v>0</v>
      </c>
      <c r="G147" s="32">
        <f t="shared" si="106"/>
        <v>18470581.309999999</v>
      </c>
      <c r="H147" s="32">
        <v>0</v>
      </c>
      <c r="I147" s="32">
        <f t="shared" si="106"/>
        <v>18470581.309999999</v>
      </c>
      <c r="J147" s="32">
        <f t="shared" si="106"/>
        <v>24262063.050000001</v>
      </c>
      <c r="K147" s="32">
        <v>0</v>
      </c>
      <c r="L147" s="32">
        <f t="shared" si="106"/>
        <v>24262063.050000001</v>
      </c>
      <c r="M147" s="32">
        <f>M148</f>
        <v>24886226.859999999</v>
      </c>
      <c r="N147" s="32">
        <v>0</v>
      </c>
      <c r="O147" s="32">
        <f>O148</f>
        <v>24886226.859999999</v>
      </c>
    </row>
    <row r="148" spans="1:15" s="2" customFormat="1" ht="25.5" x14ac:dyDescent="0.2">
      <c r="A148" s="54" t="s">
        <v>249</v>
      </c>
      <c r="B148" s="53" t="s">
        <v>10</v>
      </c>
      <c r="C148" s="53" t="s">
        <v>91</v>
      </c>
      <c r="D148" s="53" t="s">
        <v>32</v>
      </c>
      <c r="E148" s="53" t="s">
        <v>251</v>
      </c>
      <c r="F148" s="53">
        <v>600</v>
      </c>
      <c r="G148" s="29">
        <v>18470581.309999999</v>
      </c>
      <c r="H148" s="29">
        <v>0</v>
      </c>
      <c r="I148" s="29">
        <v>18470581.309999999</v>
      </c>
      <c r="J148" s="29">
        <v>24262063.050000001</v>
      </c>
      <c r="K148" s="29">
        <v>0</v>
      </c>
      <c r="L148" s="29">
        <v>24262063.050000001</v>
      </c>
      <c r="M148" s="29">
        <v>24886226.859999999</v>
      </c>
      <c r="N148" s="29">
        <v>0</v>
      </c>
      <c r="O148" s="29">
        <v>24886226.859999999</v>
      </c>
    </row>
    <row r="149" spans="1:15" s="2" customFormat="1" ht="16.5" customHeight="1" x14ac:dyDescent="0.2">
      <c r="A149" s="11" t="s">
        <v>228</v>
      </c>
      <c r="B149" s="12" t="s">
        <v>10</v>
      </c>
      <c r="C149" s="12" t="s">
        <v>115</v>
      </c>
      <c r="D149" s="12" t="s">
        <v>0</v>
      </c>
      <c r="E149" s="12" t="s">
        <v>0</v>
      </c>
      <c r="F149" s="12" t="s">
        <v>0</v>
      </c>
      <c r="G149" s="13">
        <f>G150+G155+G168</f>
        <v>29037016</v>
      </c>
      <c r="H149" s="13">
        <f>H150+H155+H168</f>
        <v>-7179805.2000000002</v>
      </c>
      <c r="I149" s="13">
        <f>I150+I155+I168</f>
        <v>21857210.800000001</v>
      </c>
      <c r="J149" s="13">
        <f t="shared" ref="J149:L149" si="107">J150+J155+J168</f>
        <v>32628870</v>
      </c>
      <c r="K149" s="13">
        <v>0</v>
      </c>
      <c r="L149" s="13">
        <f t="shared" si="107"/>
        <v>32628870</v>
      </c>
      <c r="M149" s="13">
        <f>M150+M155+M168</f>
        <v>32475804</v>
      </c>
      <c r="N149" s="13">
        <v>0</v>
      </c>
      <c r="O149" s="13">
        <f>O150+O155+O168</f>
        <v>32475804</v>
      </c>
    </row>
    <row r="150" spans="1:15" s="2" customFormat="1" x14ac:dyDescent="0.2">
      <c r="A150" s="11" t="s">
        <v>116</v>
      </c>
      <c r="B150" s="12" t="s">
        <v>10</v>
      </c>
      <c r="C150" s="12" t="s">
        <v>115</v>
      </c>
      <c r="D150" s="12" t="s">
        <v>11</v>
      </c>
      <c r="E150" s="12" t="s">
        <v>0</v>
      </c>
      <c r="F150" s="12" t="s">
        <v>0</v>
      </c>
      <c r="G150" s="13">
        <f t="shared" ref="G150:I153" si="108">G151</f>
        <v>1500000</v>
      </c>
      <c r="H150" s="13">
        <v>0</v>
      </c>
      <c r="I150" s="13">
        <f t="shared" si="108"/>
        <v>1500000</v>
      </c>
      <c r="J150" s="13">
        <f t="shared" ref="J150:L153" si="109">J151</f>
        <v>1500000</v>
      </c>
      <c r="K150" s="13">
        <v>0</v>
      </c>
      <c r="L150" s="13">
        <f t="shared" si="109"/>
        <v>1500000</v>
      </c>
      <c r="M150" s="13">
        <f>M151</f>
        <v>1500000</v>
      </c>
      <c r="N150" s="13">
        <v>0</v>
      </c>
      <c r="O150" s="13">
        <f>O151</f>
        <v>1500000</v>
      </c>
    </row>
    <row r="151" spans="1:15" s="2" customFormat="1" x14ac:dyDescent="0.2">
      <c r="A151" s="11" t="s">
        <v>117</v>
      </c>
      <c r="B151" s="12" t="s">
        <v>10</v>
      </c>
      <c r="C151" s="12" t="s">
        <v>115</v>
      </c>
      <c r="D151" s="12" t="s">
        <v>11</v>
      </c>
      <c r="E151" s="12" t="s">
        <v>118</v>
      </c>
      <c r="F151" s="12" t="s">
        <v>0</v>
      </c>
      <c r="G151" s="13">
        <f t="shared" si="108"/>
        <v>1500000</v>
      </c>
      <c r="H151" s="13">
        <v>0</v>
      </c>
      <c r="I151" s="13">
        <f t="shared" si="108"/>
        <v>1500000</v>
      </c>
      <c r="J151" s="13">
        <f t="shared" si="109"/>
        <v>1500000</v>
      </c>
      <c r="K151" s="13">
        <v>0</v>
      </c>
      <c r="L151" s="13">
        <f t="shared" si="109"/>
        <v>1500000</v>
      </c>
      <c r="M151" s="13">
        <f>M152</f>
        <v>1500000</v>
      </c>
      <c r="N151" s="13">
        <v>0</v>
      </c>
      <c r="O151" s="13">
        <f>O152</f>
        <v>1500000</v>
      </c>
    </row>
    <row r="152" spans="1:15" s="2" customFormat="1" x14ac:dyDescent="0.2">
      <c r="A152" s="11" t="s">
        <v>119</v>
      </c>
      <c r="B152" s="12" t="s">
        <v>10</v>
      </c>
      <c r="C152" s="12" t="s">
        <v>115</v>
      </c>
      <c r="D152" s="12" t="s">
        <v>11</v>
      </c>
      <c r="E152" s="12" t="s">
        <v>120</v>
      </c>
      <c r="F152" s="12" t="s">
        <v>0</v>
      </c>
      <c r="G152" s="13">
        <f t="shared" si="108"/>
        <v>1500000</v>
      </c>
      <c r="H152" s="13">
        <v>0</v>
      </c>
      <c r="I152" s="13">
        <f t="shared" si="108"/>
        <v>1500000</v>
      </c>
      <c r="J152" s="13">
        <f t="shared" si="109"/>
        <v>1500000</v>
      </c>
      <c r="K152" s="13">
        <v>0</v>
      </c>
      <c r="L152" s="13">
        <f t="shared" si="109"/>
        <v>1500000</v>
      </c>
      <c r="M152" s="13">
        <f>M153</f>
        <v>1500000</v>
      </c>
      <c r="N152" s="13">
        <v>0</v>
      </c>
      <c r="O152" s="13">
        <f>O153</f>
        <v>1500000</v>
      </c>
    </row>
    <row r="153" spans="1:15" s="2" customFormat="1" ht="24.75" customHeight="1" x14ac:dyDescent="0.2">
      <c r="A153" s="15" t="s">
        <v>121</v>
      </c>
      <c r="B153" s="16" t="s">
        <v>10</v>
      </c>
      <c r="C153" s="16" t="s">
        <v>115</v>
      </c>
      <c r="D153" s="16" t="s">
        <v>11</v>
      </c>
      <c r="E153" s="16" t="s">
        <v>122</v>
      </c>
      <c r="F153" s="16" t="s">
        <v>0</v>
      </c>
      <c r="G153" s="17">
        <f t="shared" si="108"/>
        <v>1500000</v>
      </c>
      <c r="H153" s="17">
        <v>0</v>
      </c>
      <c r="I153" s="17">
        <f t="shared" si="108"/>
        <v>1500000</v>
      </c>
      <c r="J153" s="17">
        <f t="shared" si="109"/>
        <v>1500000</v>
      </c>
      <c r="K153" s="17">
        <v>0</v>
      </c>
      <c r="L153" s="17">
        <f t="shared" si="109"/>
        <v>1500000</v>
      </c>
      <c r="M153" s="17">
        <f>M154</f>
        <v>1500000</v>
      </c>
      <c r="N153" s="17">
        <v>0</v>
      </c>
      <c r="O153" s="17">
        <f>O154</f>
        <v>1500000</v>
      </c>
    </row>
    <row r="154" spans="1:15" s="2" customFormat="1" x14ac:dyDescent="0.2">
      <c r="A154" s="18" t="s">
        <v>72</v>
      </c>
      <c r="B154" s="19" t="s">
        <v>10</v>
      </c>
      <c r="C154" s="19" t="s">
        <v>115</v>
      </c>
      <c r="D154" s="19" t="s">
        <v>11</v>
      </c>
      <c r="E154" s="19" t="s">
        <v>122</v>
      </c>
      <c r="F154" s="19" t="s">
        <v>73</v>
      </c>
      <c r="G154" s="20">
        <v>1500000</v>
      </c>
      <c r="H154" s="20">
        <v>0</v>
      </c>
      <c r="I154" s="20">
        <v>1500000</v>
      </c>
      <c r="J154" s="20">
        <v>1500000</v>
      </c>
      <c r="K154" s="20">
        <v>0</v>
      </c>
      <c r="L154" s="20">
        <v>1500000</v>
      </c>
      <c r="M154" s="20">
        <v>1500000</v>
      </c>
      <c r="N154" s="20">
        <v>0</v>
      </c>
      <c r="O154" s="20">
        <v>1500000</v>
      </c>
    </row>
    <row r="155" spans="1:15" s="2" customFormat="1" x14ac:dyDescent="0.2">
      <c r="A155" s="11" t="s">
        <v>123</v>
      </c>
      <c r="B155" s="12" t="s">
        <v>10</v>
      </c>
      <c r="C155" s="12" t="s">
        <v>115</v>
      </c>
      <c r="D155" s="12" t="s">
        <v>13</v>
      </c>
      <c r="E155" s="12" t="s">
        <v>0</v>
      </c>
      <c r="F155" s="12" t="s">
        <v>0</v>
      </c>
      <c r="G155" s="13">
        <f t="shared" ref="G155:I156" si="110">G156</f>
        <v>20247312</v>
      </c>
      <c r="H155" s="13">
        <f t="shared" si="110"/>
        <v>-7679805.2000000002</v>
      </c>
      <c r="I155" s="13">
        <f t="shared" si="110"/>
        <v>12567506.800000001</v>
      </c>
      <c r="J155" s="13">
        <f t="shared" ref="J155:L156" si="111">J156</f>
        <v>23642344</v>
      </c>
      <c r="K155" s="13">
        <v>0</v>
      </c>
      <c r="L155" s="13">
        <f t="shared" si="111"/>
        <v>23642344</v>
      </c>
      <c r="M155" s="13">
        <f>M156</f>
        <v>23264682</v>
      </c>
      <c r="N155" s="13">
        <v>0</v>
      </c>
      <c r="O155" s="13">
        <f>O156</f>
        <v>23264682</v>
      </c>
    </row>
    <row r="156" spans="1:15" s="2" customFormat="1" ht="25.5" x14ac:dyDescent="0.2">
      <c r="A156" s="11" t="s">
        <v>94</v>
      </c>
      <c r="B156" s="12" t="s">
        <v>10</v>
      </c>
      <c r="C156" s="12" t="s">
        <v>115</v>
      </c>
      <c r="D156" s="12" t="s">
        <v>13</v>
      </c>
      <c r="E156" s="12" t="s">
        <v>95</v>
      </c>
      <c r="F156" s="12" t="s">
        <v>0</v>
      </c>
      <c r="G156" s="13">
        <f t="shared" si="110"/>
        <v>20247312</v>
      </c>
      <c r="H156" s="13">
        <f t="shared" si="110"/>
        <v>-7679805.2000000002</v>
      </c>
      <c r="I156" s="13">
        <f t="shared" si="110"/>
        <v>12567506.800000001</v>
      </c>
      <c r="J156" s="13">
        <f t="shared" si="111"/>
        <v>23642344</v>
      </c>
      <c r="K156" s="13">
        <v>0</v>
      </c>
      <c r="L156" s="13">
        <f t="shared" si="111"/>
        <v>23642344</v>
      </c>
      <c r="M156" s="13">
        <f>M157</f>
        <v>23264682</v>
      </c>
      <c r="N156" s="13">
        <v>0</v>
      </c>
      <c r="O156" s="13">
        <f>O157</f>
        <v>23264682</v>
      </c>
    </row>
    <row r="157" spans="1:15" s="2" customFormat="1" x14ac:dyDescent="0.2">
      <c r="A157" s="11" t="s">
        <v>111</v>
      </c>
      <c r="B157" s="12" t="s">
        <v>10</v>
      </c>
      <c r="C157" s="12" t="s">
        <v>115</v>
      </c>
      <c r="D157" s="12" t="s">
        <v>13</v>
      </c>
      <c r="E157" s="12" t="s">
        <v>112</v>
      </c>
      <c r="F157" s="12" t="s">
        <v>0</v>
      </c>
      <c r="G157" s="13">
        <f t="shared" ref="G157:J157" si="112">G158+G161+G164+G166</f>
        <v>20247312</v>
      </c>
      <c r="H157" s="13">
        <f t="shared" si="112"/>
        <v>-7679805.2000000002</v>
      </c>
      <c r="I157" s="13">
        <f t="shared" ref="I157" si="113">I158+I161+I164+I166</f>
        <v>12567506.800000001</v>
      </c>
      <c r="J157" s="13">
        <f t="shared" si="112"/>
        <v>23642344</v>
      </c>
      <c r="K157" s="13">
        <v>0</v>
      </c>
      <c r="L157" s="13">
        <f t="shared" ref="L157" si="114">L158+L161+L164+L166</f>
        <v>23642344</v>
      </c>
      <c r="M157" s="13">
        <f>M158+M161+M164+M166</f>
        <v>23264682</v>
      </c>
      <c r="N157" s="13">
        <v>0</v>
      </c>
      <c r="O157" s="13">
        <f>O158+O161+O164+O166</f>
        <v>23264682</v>
      </c>
    </row>
    <row r="158" spans="1:15" s="2" customFormat="1" ht="13.5" x14ac:dyDescent="0.2">
      <c r="A158" s="15" t="s">
        <v>135</v>
      </c>
      <c r="B158" s="16" t="s">
        <v>10</v>
      </c>
      <c r="C158" s="16" t="s">
        <v>115</v>
      </c>
      <c r="D158" s="16" t="s">
        <v>13</v>
      </c>
      <c r="E158" s="16" t="s">
        <v>136</v>
      </c>
      <c r="F158" s="16" t="s">
        <v>0</v>
      </c>
      <c r="G158" s="17">
        <f t="shared" ref="G158:J158" si="115">G159+G160</f>
        <v>500000</v>
      </c>
      <c r="H158" s="17">
        <v>0</v>
      </c>
      <c r="I158" s="17">
        <f t="shared" ref="I158" si="116">I159+I160</f>
        <v>500000</v>
      </c>
      <c r="J158" s="17">
        <f t="shared" si="115"/>
        <v>3804400</v>
      </c>
      <c r="K158" s="17">
        <v>0</v>
      </c>
      <c r="L158" s="17">
        <f t="shared" ref="L158" si="117">L159+L160</f>
        <v>3804400</v>
      </c>
      <c r="M158" s="17">
        <f>M159+M160</f>
        <v>3420046</v>
      </c>
      <c r="N158" s="17">
        <v>0</v>
      </c>
      <c r="O158" s="17">
        <f>O159+O160</f>
        <v>3420046</v>
      </c>
    </row>
    <row r="159" spans="1:15" s="2" customFormat="1" x14ac:dyDescent="0.2">
      <c r="A159" s="18" t="s">
        <v>72</v>
      </c>
      <c r="B159" s="19" t="s">
        <v>10</v>
      </c>
      <c r="C159" s="19" t="s">
        <v>115</v>
      </c>
      <c r="D159" s="19" t="s">
        <v>13</v>
      </c>
      <c r="E159" s="19" t="s">
        <v>136</v>
      </c>
      <c r="F159" s="19" t="s">
        <v>73</v>
      </c>
      <c r="G159" s="20">
        <v>500000</v>
      </c>
      <c r="H159" s="20">
        <v>0</v>
      </c>
      <c r="I159" s="20">
        <v>500000</v>
      </c>
      <c r="J159" s="20">
        <v>500000</v>
      </c>
      <c r="K159" s="20">
        <v>0</v>
      </c>
      <c r="L159" s="20">
        <v>500000</v>
      </c>
      <c r="M159" s="20">
        <v>500000</v>
      </c>
      <c r="N159" s="20">
        <v>0</v>
      </c>
      <c r="O159" s="20">
        <v>500000</v>
      </c>
    </row>
    <row r="160" spans="1:15" s="2" customFormat="1" ht="12.75" customHeight="1" x14ac:dyDescent="0.2">
      <c r="A160" s="6" t="s">
        <v>271</v>
      </c>
      <c r="B160" s="19" t="s">
        <v>10</v>
      </c>
      <c r="C160" s="19" t="s">
        <v>115</v>
      </c>
      <c r="D160" s="19" t="s">
        <v>13</v>
      </c>
      <c r="E160" s="19" t="s">
        <v>136</v>
      </c>
      <c r="F160" s="19" t="s">
        <v>39</v>
      </c>
      <c r="G160" s="20">
        <v>0</v>
      </c>
      <c r="H160" s="20">
        <v>0</v>
      </c>
      <c r="I160" s="20">
        <v>0</v>
      </c>
      <c r="J160" s="20">
        <v>3304400</v>
      </c>
      <c r="K160" s="20">
        <v>0</v>
      </c>
      <c r="L160" s="20">
        <v>3304400</v>
      </c>
      <c r="M160" s="20">
        <v>2920046</v>
      </c>
      <c r="N160" s="20">
        <v>0</v>
      </c>
      <c r="O160" s="20">
        <v>2920046</v>
      </c>
    </row>
    <row r="161" spans="1:15" s="2" customFormat="1" ht="27" x14ac:dyDescent="0.2">
      <c r="A161" s="15" t="s">
        <v>137</v>
      </c>
      <c r="B161" s="16" t="s">
        <v>10</v>
      </c>
      <c r="C161" s="16" t="s">
        <v>115</v>
      </c>
      <c r="D161" s="16" t="s">
        <v>13</v>
      </c>
      <c r="E161" s="16" t="s">
        <v>138</v>
      </c>
      <c r="F161" s="16" t="s">
        <v>0</v>
      </c>
      <c r="G161" s="17">
        <f t="shared" ref="G161:H161" si="118">G162+G163</f>
        <v>16650250</v>
      </c>
      <c r="H161" s="17">
        <f t="shared" si="118"/>
        <v>-7679805.2000000002</v>
      </c>
      <c r="I161" s="17">
        <f t="shared" ref="I161:O161" si="119">I162+I163</f>
        <v>8970444.8000000007</v>
      </c>
      <c r="J161" s="17">
        <f t="shared" si="119"/>
        <v>16657261</v>
      </c>
      <c r="K161" s="17">
        <f t="shared" si="119"/>
        <v>0</v>
      </c>
      <c r="L161" s="17">
        <f t="shared" si="119"/>
        <v>16657261</v>
      </c>
      <c r="M161" s="17">
        <f t="shared" si="119"/>
        <v>16663953</v>
      </c>
      <c r="N161" s="17">
        <f t="shared" si="119"/>
        <v>0</v>
      </c>
      <c r="O161" s="17">
        <f t="shared" si="119"/>
        <v>16663953</v>
      </c>
    </row>
    <row r="162" spans="1:15" s="2" customFormat="1" x14ac:dyDescent="0.2">
      <c r="A162" s="18" t="s">
        <v>22</v>
      </c>
      <c r="B162" s="19" t="s">
        <v>10</v>
      </c>
      <c r="C162" s="19" t="s">
        <v>115</v>
      </c>
      <c r="D162" s="19" t="s">
        <v>13</v>
      </c>
      <c r="E162" s="19" t="s">
        <v>138</v>
      </c>
      <c r="F162" s="19" t="s">
        <v>23</v>
      </c>
      <c r="G162" s="20">
        <v>216085</v>
      </c>
      <c r="H162" s="20">
        <v>10396</v>
      </c>
      <c r="I162" s="20">
        <f>G162+H162</f>
        <v>226481</v>
      </c>
      <c r="J162" s="20">
        <v>223096</v>
      </c>
      <c r="K162" s="20">
        <v>0</v>
      </c>
      <c r="L162" s="20">
        <f>J162+K162</f>
        <v>223096</v>
      </c>
      <c r="M162" s="20">
        <v>229788</v>
      </c>
      <c r="N162" s="20">
        <v>0</v>
      </c>
      <c r="O162" s="20">
        <f>M162+N162</f>
        <v>229788</v>
      </c>
    </row>
    <row r="163" spans="1:15" s="2" customFormat="1" ht="15.75" customHeight="1" x14ac:dyDescent="0.2">
      <c r="A163" s="6" t="s">
        <v>271</v>
      </c>
      <c r="B163" s="19" t="s">
        <v>10</v>
      </c>
      <c r="C163" s="19" t="s">
        <v>115</v>
      </c>
      <c r="D163" s="19" t="s">
        <v>13</v>
      </c>
      <c r="E163" s="19" t="s">
        <v>138</v>
      </c>
      <c r="F163" s="19" t="s">
        <v>39</v>
      </c>
      <c r="G163" s="20">
        <v>16434165</v>
      </c>
      <c r="H163" s="20">
        <v>-7690201.2000000002</v>
      </c>
      <c r="I163" s="20">
        <f>G163+H163</f>
        <v>8743963.8000000007</v>
      </c>
      <c r="J163" s="20">
        <v>16434165</v>
      </c>
      <c r="K163" s="20">
        <v>0</v>
      </c>
      <c r="L163" s="20">
        <f>J163+K163</f>
        <v>16434165</v>
      </c>
      <c r="M163" s="20">
        <v>16434165</v>
      </c>
      <c r="N163" s="20">
        <v>0</v>
      </c>
      <c r="O163" s="20">
        <f>M163+N163</f>
        <v>16434165</v>
      </c>
    </row>
    <row r="164" spans="1:15" s="2" customFormat="1" ht="13.5" hidden="1" outlineLevel="1" x14ac:dyDescent="0.2">
      <c r="A164" s="15" t="s">
        <v>254</v>
      </c>
      <c r="B164" s="16" t="s">
        <v>10</v>
      </c>
      <c r="C164" s="16" t="s">
        <v>115</v>
      </c>
      <c r="D164" s="16" t="s">
        <v>13</v>
      </c>
      <c r="E164" s="16" t="s">
        <v>139</v>
      </c>
      <c r="F164" s="16" t="s">
        <v>0</v>
      </c>
      <c r="G164" s="17">
        <f t="shared" ref="G164:L166" si="120">G165</f>
        <v>0</v>
      </c>
      <c r="H164" s="17"/>
      <c r="I164" s="17">
        <f t="shared" si="120"/>
        <v>0</v>
      </c>
      <c r="J164" s="17">
        <f t="shared" si="120"/>
        <v>0</v>
      </c>
      <c r="K164" s="17"/>
      <c r="L164" s="17">
        <f t="shared" si="120"/>
        <v>0</v>
      </c>
      <c r="M164" s="17">
        <f>M165</f>
        <v>0</v>
      </c>
      <c r="N164" s="17"/>
      <c r="O164" s="17">
        <f>O165</f>
        <v>0</v>
      </c>
    </row>
    <row r="165" spans="1:15" s="2" customFormat="1" hidden="1" outlineLevel="1" x14ac:dyDescent="0.2">
      <c r="A165" s="18" t="s">
        <v>86</v>
      </c>
      <c r="B165" s="19" t="s">
        <v>10</v>
      </c>
      <c r="C165" s="19" t="s">
        <v>115</v>
      </c>
      <c r="D165" s="19" t="s">
        <v>13</v>
      </c>
      <c r="E165" s="19" t="s">
        <v>139</v>
      </c>
      <c r="F165" s="19" t="s">
        <v>87</v>
      </c>
      <c r="G165" s="20">
        <v>0</v>
      </c>
      <c r="H165" s="20"/>
      <c r="I165" s="20">
        <v>0</v>
      </c>
      <c r="J165" s="20">
        <v>0</v>
      </c>
      <c r="K165" s="20"/>
      <c r="L165" s="20">
        <v>0</v>
      </c>
      <c r="M165" s="20">
        <v>0</v>
      </c>
      <c r="N165" s="20"/>
      <c r="O165" s="20">
        <v>0</v>
      </c>
    </row>
    <row r="166" spans="1:15" s="2" customFormat="1" ht="14.25" customHeight="1" collapsed="1" x14ac:dyDescent="0.2">
      <c r="A166" s="15" t="s">
        <v>254</v>
      </c>
      <c r="B166" s="16" t="s">
        <v>10</v>
      </c>
      <c r="C166" s="16" t="s">
        <v>115</v>
      </c>
      <c r="D166" s="16" t="s">
        <v>13</v>
      </c>
      <c r="E166" s="16" t="s">
        <v>239</v>
      </c>
      <c r="F166" s="16" t="s">
        <v>0</v>
      </c>
      <c r="G166" s="17">
        <f t="shared" ref="G166:I166" si="121">G167</f>
        <v>3097062</v>
      </c>
      <c r="H166" s="17">
        <v>0</v>
      </c>
      <c r="I166" s="17">
        <f t="shared" si="121"/>
        <v>3097062</v>
      </c>
      <c r="J166" s="17">
        <f t="shared" si="120"/>
        <v>3180683</v>
      </c>
      <c r="K166" s="17">
        <v>0</v>
      </c>
      <c r="L166" s="17">
        <f t="shared" si="120"/>
        <v>3180683</v>
      </c>
      <c r="M166" s="17">
        <f>M167</f>
        <v>3180683</v>
      </c>
      <c r="N166" s="17">
        <v>0</v>
      </c>
      <c r="O166" s="17">
        <f>O167</f>
        <v>3180683</v>
      </c>
    </row>
    <row r="167" spans="1:15" s="2" customFormat="1" x14ac:dyDescent="0.2">
      <c r="A167" s="18" t="s">
        <v>86</v>
      </c>
      <c r="B167" s="19" t="s">
        <v>10</v>
      </c>
      <c r="C167" s="19" t="s">
        <v>115</v>
      </c>
      <c r="D167" s="19" t="s">
        <v>13</v>
      </c>
      <c r="E167" s="19" t="s">
        <v>239</v>
      </c>
      <c r="F167" s="19" t="s">
        <v>87</v>
      </c>
      <c r="G167" s="20">
        <v>3097062</v>
      </c>
      <c r="H167" s="20">
        <v>0</v>
      </c>
      <c r="I167" s="20">
        <v>3097062</v>
      </c>
      <c r="J167" s="20">
        <v>3180683</v>
      </c>
      <c r="K167" s="20">
        <v>0</v>
      </c>
      <c r="L167" s="20">
        <v>3180683</v>
      </c>
      <c r="M167" s="20">
        <v>3180683</v>
      </c>
      <c r="N167" s="20">
        <v>0</v>
      </c>
      <c r="O167" s="20">
        <v>3180683</v>
      </c>
    </row>
    <row r="168" spans="1:15" s="2" customFormat="1" x14ac:dyDescent="0.2">
      <c r="A168" s="11" t="s">
        <v>219</v>
      </c>
      <c r="B168" s="12" t="s">
        <v>10</v>
      </c>
      <c r="C168" s="12" t="s">
        <v>115</v>
      </c>
      <c r="D168" s="12" t="s">
        <v>152</v>
      </c>
      <c r="E168" s="12" t="s">
        <v>0</v>
      </c>
      <c r="F168" s="12" t="s">
        <v>0</v>
      </c>
      <c r="G168" s="13">
        <f>G169</f>
        <v>7289704</v>
      </c>
      <c r="H168" s="13">
        <f t="shared" ref="H168:L168" si="122">H169</f>
        <v>500000</v>
      </c>
      <c r="I168" s="13">
        <f>I169</f>
        <v>7789704</v>
      </c>
      <c r="J168" s="13">
        <f t="shared" si="122"/>
        <v>7486526</v>
      </c>
      <c r="K168" s="13">
        <v>0</v>
      </c>
      <c r="L168" s="13">
        <f t="shared" si="122"/>
        <v>7486526</v>
      </c>
      <c r="M168" s="13">
        <f>M169</f>
        <v>7711122</v>
      </c>
      <c r="N168" s="13">
        <v>0</v>
      </c>
      <c r="O168" s="13">
        <f>O169</f>
        <v>7711122</v>
      </c>
    </row>
    <row r="169" spans="1:15" s="2" customFormat="1" x14ac:dyDescent="0.2">
      <c r="A169" s="11" t="s">
        <v>117</v>
      </c>
      <c r="B169" s="12" t="s">
        <v>10</v>
      </c>
      <c r="C169" s="12" t="s">
        <v>115</v>
      </c>
      <c r="D169" s="12" t="s">
        <v>152</v>
      </c>
      <c r="E169" s="12" t="s">
        <v>118</v>
      </c>
      <c r="F169" s="12" t="s">
        <v>0</v>
      </c>
      <c r="G169" s="13">
        <f t="shared" ref="G169:J169" si="123">G170+G172+G174</f>
        <v>7289704</v>
      </c>
      <c r="H169" s="13">
        <f t="shared" si="123"/>
        <v>500000</v>
      </c>
      <c r="I169" s="13">
        <f t="shared" si="123"/>
        <v>7789704</v>
      </c>
      <c r="J169" s="13">
        <f t="shared" si="123"/>
        <v>7486526</v>
      </c>
      <c r="K169" s="13">
        <v>0</v>
      </c>
      <c r="L169" s="13">
        <f t="shared" ref="L169" si="124">L170+L172+L174</f>
        <v>7486526</v>
      </c>
      <c r="M169" s="13">
        <f>M170+M172+M174</f>
        <v>7711122</v>
      </c>
      <c r="N169" s="13">
        <v>0</v>
      </c>
      <c r="O169" s="13">
        <f>O170+O172+O174</f>
        <v>7711122</v>
      </c>
    </row>
    <row r="170" spans="1:15" s="2" customFormat="1" ht="24" customHeight="1" x14ac:dyDescent="0.2">
      <c r="A170" s="15" t="s">
        <v>124</v>
      </c>
      <c r="B170" s="16" t="s">
        <v>10</v>
      </c>
      <c r="C170" s="16" t="s">
        <v>115</v>
      </c>
      <c r="D170" s="16" t="s">
        <v>152</v>
      </c>
      <c r="E170" s="16" t="s">
        <v>125</v>
      </c>
      <c r="F170" s="16" t="s">
        <v>0</v>
      </c>
      <c r="G170" s="17">
        <f t="shared" ref="G170:L170" si="125">G171</f>
        <v>342000</v>
      </c>
      <c r="H170" s="17">
        <f t="shared" si="125"/>
        <v>0</v>
      </c>
      <c r="I170" s="17">
        <f t="shared" si="125"/>
        <v>342000</v>
      </c>
      <c r="J170" s="17">
        <f t="shared" si="125"/>
        <v>342000</v>
      </c>
      <c r="K170" s="17">
        <v>0</v>
      </c>
      <c r="L170" s="17">
        <f t="shared" si="125"/>
        <v>342000</v>
      </c>
      <c r="M170" s="17">
        <f>M171</f>
        <v>342000</v>
      </c>
      <c r="N170" s="17">
        <v>0</v>
      </c>
      <c r="O170" s="17">
        <f>O171</f>
        <v>342000</v>
      </c>
    </row>
    <row r="171" spans="1:15" s="2" customFormat="1" x14ac:dyDescent="0.2">
      <c r="A171" s="18" t="s">
        <v>22</v>
      </c>
      <c r="B171" s="19" t="s">
        <v>10</v>
      </c>
      <c r="C171" s="19" t="s">
        <v>115</v>
      </c>
      <c r="D171" s="19" t="s">
        <v>152</v>
      </c>
      <c r="E171" s="19" t="s">
        <v>125</v>
      </c>
      <c r="F171" s="19" t="s">
        <v>23</v>
      </c>
      <c r="G171" s="20">
        <v>342000</v>
      </c>
      <c r="H171" s="20">
        <v>0</v>
      </c>
      <c r="I171" s="20">
        <v>342000</v>
      </c>
      <c r="J171" s="20">
        <v>342000</v>
      </c>
      <c r="K171" s="20">
        <v>0</v>
      </c>
      <c r="L171" s="20">
        <v>342000</v>
      </c>
      <c r="M171" s="20">
        <v>342000</v>
      </c>
      <c r="N171" s="20">
        <v>0</v>
      </c>
      <c r="O171" s="20">
        <v>342000</v>
      </c>
    </row>
    <row r="172" spans="1:15" s="2" customFormat="1" ht="13.5" x14ac:dyDescent="0.2">
      <c r="A172" s="15" t="s">
        <v>126</v>
      </c>
      <c r="B172" s="16" t="s">
        <v>10</v>
      </c>
      <c r="C172" s="16" t="s">
        <v>115</v>
      </c>
      <c r="D172" s="16" t="s">
        <v>152</v>
      </c>
      <c r="E172" s="16" t="s">
        <v>127</v>
      </c>
      <c r="F172" s="16" t="s">
        <v>0</v>
      </c>
      <c r="G172" s="17">
        <f t="shared" ref="G172:O172" si="126">G173</f>
        <v>1530000</v>
      </c>
      <c r="H172" s="17">
        <f>H173</f>
        <v>500000</v>
      </c>
      <c r="I172" s="17">
        <f t="shared" si="126"/>
        <v>2030000</v>
      </c>
      <c r="J172" s="17">
        <f t="shared" si="126"/>
        <v>1540000</v>
      </c>
      <c r="K172" s="17">
        <f t="shared" si="126"/>
        <v>0</v>
      </c>
      <c r="L172" s="17">
        <f t="shared" si="126"/>
        <v>1540000</v>
      </c>
      <c r="M172" s="17">
        <f t="shared" si="126"/>
        <v>1550000</v>
      </c>
      <c r="N172" s="17">
        <f t="shared" si="126"/>
        <v>0</v>
      </c>
      <c r="O172" s="17">
        <f t="shared" si="126"/>
        <v>1550000</v>
      </c>
    </row>
    <row r="173" spans="1:15" s="2" customFormat="1" ht="25.5" x14ac:dyDescent="0.2">
      <c r="A173" s="54" t="s">
        <v>249</v>
      </c>
      <c r="B173" s="19" t="s">
        <v>10</v>
      </c>
      <c r="C173" s="19" t="s">
        <v>115</v>
      </c>
      <c r="D173" s="19" t="s">
        <v>152</v>
      </c>
      <c r="E173" s="19" t="s">
        <v>127</v>
      </c>
      <c r="F173" s="19" t="s">
        <v>128</v>
      </c>
      <c r="G173" s="20">
        <v>1530000</v>
      </c>
      <c r="H173" s="20">
        <v>500000</v>
      </c>
      <c r="I173" s="20">
        <f>H173+G173</f>
        <v>2030000</v>
      </c>
      <c r="J173" s="20">
        <v>1540000</v>
      </c>
      <c r="K173" s="20">
        <v>0</v>
      </c>
      <c r="L173" s="20">
        <f>K173+J173</f>
        <v>1540000</v>
      </c>
      <c r="M173" s="20">
        <v>1550000</v>
      </c>
      <c r="N173" s="20">
        <v>0</v>
      </c>
      <c r="O173" s="20">
        <f>N173+M173</f>
        <v>1550000</v>
      </c>
    </row>
    <row r="174" spans="1:15" s="2" customFormat="1" x14ac:dyDescent="0.2">
      <c r="A174" s="11" t="s">
        <v>119</v>
      </c>
      <c r="B174" s="12" t="s">
        <v>10</v>
      </c>
      <c r="C174" s="12" t="s">
        <v>115</v>
      </c>
      <c r="D174" s="12" t="s">
        <v>152</v>
      </c>
      <c r="E174" s="12" t="s">
        <v>120</v>
      </c>
      <c r="F174" s="12" t="s">
        <v>0</v>
      </c>
      <c r="G174" s="13">
        <f>G175+G178+G181</f>
        <v>5417704</v>
      </c>
      <c r="H174" s="13">
        <v>0</v>
      </c>
      <c r="I174" s="13">
        <f>I175+I178+I181</f>
        <v>5417704</v>
      </c>
      <c r="J174" s="13">
        <f t="shared" ref="J174:L174" si="127">J175+J178+J181</f>
        <v>5604526</v>
      </c>
      <c r="K174" s="13">
        <v>0</v>
      </c>
      <c r="L174" s="13">
        <f t="shared" si="127"/>
        <v>5604526</v>
      </c>
      <c r="M174" s="13">
        <f>M175+M178+M181</f>
        <v>5819122</v>
      </c>
      <c r="N174" s="13">
        <v>0</v>
      </c>
      <c r="O174" s="13">
        <f>O175+O178+O181</f>
        <v>5819122</v>
      </c>
    </row>
    <row r="175" spans="1:15" s="2" customFormat="1" ht="27" x14ac:dyDescent="0.2">
      <c r="A175" s="15" t="s">
        <v>129</v>
      </c>
      <c r="B175" s="16" t="s">
        <v>10</v>
      </c>
      <c r="C175" s="16" t="s">
        <v>115</v>
      </c>
      <c r="D175" s="16" t="s">
        <v>152</v>
      </c>
      <c r="E175" s="16" t="s">
        <v>130</v>
      </c>
      <c r="F175" s="16" t="s">
        <v>0</v>
      </c>
      <c r="G175" s="17">
        <f t="shared" ref="G175:J175" si="128">G176+G177</f>
        <v>375000</v>
      </c>
      <c r="H175" s="17">
        <v>0</v>
      </c>
      <c r="I175" s="17">
        <f t="shared" ref="I175" si="129">I176+I177</f>
        <v>375000</v>
      </c>
      <c r="J175" s="17">
        <f t="shared" si="128"/>
        <v>375000</v>
      </c>
      <c r="K175" s="17">
        <v>0</v>
      </c>
      <c r="L175" s="17">
        <f t="shared" ref="L175" si="130">L176+L177</f>
        <v>375000</v>
      </c>
      <c r="M175" s="17">
        <f>M176+M177</f>
        <v>375000</v>
      </c>
      <c r="N175" s="17">
        <v>0</v>
      </c>
      <c r="O175" s="17">
        <f>O176+O177</f>
        <v>375000</v>
      </c>
    </row>
    <row r="176" spans="1:15" s="2" customFormat="1" x14ac:dyDescent="0.2">
      <c r="A176" s="18" t="s">
        <v>22</v>
      </c>
      <c r="B176" s="19" t="s">
        <v>10</v>
      </c>
      <c r="C176" s="19" t="s">
        <v>115</v>
      </c>
      <c r="D176" s="19" t="s">
        <v>152</v>
      </c>
      <c r="E176" s="19" t="s">
        <v>130</v>
      </c>
      <c r="F176" s="19" t="s">
        <v>23</v>
      </c>
      <c r="G176" s="20">
        <v>375000</v>
      </c>
      <c r="H176" s="20">
        <v>0</v>
      </c>
      <c r="I176" s="20">
        <v>375000</v>
      </c>
      <c r="J176" s="20">
        <v>375000</v>
      </c>
      <c r="K176" s="20">
        <v>0</v>
      </c>
      <c r="L176" s="20">
        <v>375000</v>
      </c>
      <c r="M176" s="20">
        <v>375000</v>
      </c>
      <c r="N176" s="20">
        <v>0</v>
      </c>
      <c r="O176" s="20">
        <v>375000</v>
      </c>
    </row>
    <row r="177" spans="1:15" s="2" customFormat="1" hidden="1" outlineLevel="1" x14ac:dyDescent="0.2">
      <c r="A177" s="18" t="s">
        <v>72</v>
      </c>
      <c r="B177" s="19" t="s">
        <v>10</v>
      </c>
      <c r="C177" s="19" t="s">
        <v>115</v>
      </c>
      <c r="D177" s="19" t="s">
        <v>152</v>
      </c>
      <c r="E177" s="19" t="s">
        <v>130</v>
      </c>
      <c r="F177" s="19" t="s">
        <v>73</v>
      </c>
      <c r="G177" s="20">
        <v>0</v>
      </c>
      <c r="H177" s="20"/>
      <c r="I177" s="20">
        <v>0</v>
      </c>
      <c r="J177" s="20">
        <v>0</v>
      </c>
      <c r="K177" s="20"/>
      <c r="L177" s="20">
        <v>0</v>
      </c>
      <c r="M177" s="20">
        <v>0</v>
      </c>
      <c r="N177" s="20"/>
      <c r="O177" s="20">
        <v>0</v>
      </c>
    </row>
    <row r="178" spans="1:15" s="2" customFormat="1" ht="13.5" collapsed="1" x14ac:dyDescent="0.2">
      <c r="A178" s="15" t="s">
        <v>131</v>
      </c>
      <c r="B178" s="16" t="s">
        <v>10</v>
      </c>
      <c r="C178" s="16" t="s">
        <v>115</v>
      </c>
      <c r="D178" s="16" t="s">
        <v>152</v>
      </c>
      <c r="E178" s="16" t="s">
        <v>132</v>
      </c>
      <c r="F178" s="16" t="s">
        <v>0</v>
      </c>
      <c r="G178" s="17">
        <f t="shared" ref="G178:J178" si="131">G179+G180</f>
        <v>1246200</v>
      </c>
      <c r="H178" s="17">
        <v>0</v>
      </c>
      <c r="I178" s="17">
        <f t="shared" ref="I178" si="132">I179+I180</f>
        <v>1246200</v>
      </c>
      <c r="J178" s="17">
        <f t="shared" si="131"/>
        <v>1234200</v>
      </c>
      <c r="K178" s="17">
        <v>0</v>
      </c>
      <c r="L178" s="17">
        <f t="shared" ref="L178" si="133">L179+L180</f>
        <v>1234200</v>
      </c>
      <c r="M178" s="17">
        <f>M179+M180</f>
        <v>1234200</v>
      </c>
      <c r="N178" s="17">
        <v>0</v>
      </c>
      <c r="O178" s="17">
        <f>O179+O180</f>
        <v>1234200</v>
      </c>
    </row>
    <row r="179" spans="1:15" s="2" customFormat="1" x14ac:dyDescent="0.2">
      <c r="A179" s="18" t="s">
        <v>22</v>
      </c>
      <c r="B179" s="19" t="s">
        <v>10</v>
      </c>
      <c r="C179" s="19" t="s">
        <v>115</v>
      </c>
      <c r="D179" s="19" t="s">
        <v>152</v>
      </c>
      <c r="E179" s="19" t="s">
        <v>132</v>
      </c>
      <c r="F179" s="19" t="s">
        <v>23</v>
      </c>
      <c r="G179" s="20">
        <f>19200+192000</f>
        <v>211200</v>
      </c>
      <c r="H179" s="20">
        <v>0</v>
      </c>
      <c r="I179" s="20">
        <f>19200+192000</f>
        <v>211200</v>
      </c>
      <c r="J179" s="20">
        <f>19200+180000</f>
        <v>199200</v>
      </c>
      <c r="K179" s="20">
        <v>0</v>
      </c>
      <c r="L179" s="20">
        <f>19200+180000</f>
        <v>199200</v>
      </c>
      <c r="M179" s="20">
        <f>19200+180000</f>
        <v>199200</v>
      </c>
      <c r="N179" s="20">
        <v>0</v>
      </c>
      <c r="O179" s="20">
        <f>19200+180000</f>
        <v>199200</v>
      </c>
    </row>
    <row r="180" spans="1:15" s="2" customFormat="1" x14ac:dyDescent="0.2">
      <c r="A180" s="18" t="s">
        <v>72</v>
      </c>
      <c r="B180" s="19" t="s">
        <v>10</v>
      </c>
      <c r="C180" s="19" t="s">
        <v>115</v>
      </c>
      <c r="D180" s="19" t="s">
        <v>152</v>
      </c>
      <c r="E180" s="19" t="s">
        <v>132</v>
      </c>
      <c r="F180" s="19" t="s">
        <v>73</v>
      </c>
      <c r="G180" s="20">
        <v>1035000</v>
      </c>
      <c r="H180" s="20">
        <v>0</v>
      </c>
      <c r="I180" s="20">
        <v>1035000</v>
      </c>
      <c r="J180" s="20">
        <v>1035000</v>
      </c>
      <c r="K180" s="20">
        <v>0</v>
      </c>
      <c r="L180" s="20">
        <v>1035000</v>
      </c>
      <c r="M180" s="20">
        <v>1035000</v>
      </c>
      <c r="N180" s="20">
        <v>0</v>
      </c>
      <c r="O180" s="20">
        <v>1035000</v>
      </c>
    </row>
    <row r="181" spans="1:15" s="2" customFormat="1" ht="26.25" customHeight="1" x14ac:dyDescent="0.2">
      <c r="A181" s="15" t="s">
        <v>133</v>
      </c>
      <c r="B181" s="16" t="s">
        <v>10</v>
      </c>
      <c r="C181" s="16" t="s">
        <v>115</v>
      </c>
      <c r="D181" s="16" t="s">
        <v>152</v>
      </c>
      <c r="E181" s="16" t="s">
        <v>134</v>
      </c>
      <c r="F181" s="16" t="s">
        <v>0</v>
      </c>
      <c r="G181" s="17">
        <f t="shared" ref="G181:J181" si="134">G182+G183</f>
        <v>3796504</v>
      </c>
      <c r="H181" s="17">
        <v>0</v>
      </c>
      <c r="I181" s="17">
        <f t="shared" ref="I181" si="135">I182+I183</f>
        <v>3796504</v>
      </c>
      <c r="J181" s="17">
        <f t="shared" si="134"/>
        <v>3995326</v>
      </c>
      <c r="K181" s="17">
        <v>0</v>
      </c>
      <c r="L181" s="17">
        <f t="shared" ref="L181" si="136">L182+L183</f>
        <v>3995326</v>
      </c>
      <c r="M181" s="17">
        <f>M182+M183</f>
        <v>4209922</v>
      </c>
      <c r="N181" s="17">
        <v>0</v>
      </c>
      <c r="O181" s="17">
        <f>O182+O183</f>
        <v>4209922</v>
      </c>
    </row>
    <row r="182" spans="1:15" s="2" customFormat="1" x14ac:dyDescent="0.2">
      <c r="A182" s="18" t="s">
        <v>22</v>
      </c>
      <c r="B182" s="19" t="s">
        <v>10</v>
      </c>
      <c r="C182" s="19" t="s">
        <v>115</v>
      </c>
      <c r="D182" s="19" t="s">
        <v>152</v>
      </c>
      <c r="E182" s="19" t="s">
        <v>134</v>
      </c>
      <c r="F182" s="19" t="s">
        <v>23</v>
      </c>
      <c r="G182" s="20">
        <v>53902</v>
      </c>
      <c r="H182" s="20">
        <v>0</v>
      </c>
      <c r="I182" s="20">
        <v>53902</v>
      </c>
      <c r="J182" s="20">
        <v>57724</v>
      </c>
      <c r="K182" s="20">
        <v>0</v>
      </c>
      <c r="L182" s="20">
        <v>57724</v>
      </c>
      <c r="M182" s="20">
        <v>62320</v>
      </c>
      <c r="N182" s="20">
        <v>0</v>
      </c>
      <c r="O182" s="20">
        <v>62320</v>
      </c>
    </row>
    <row r="183" spans="1:15" s="2" customFormat="1" x14ac:dyDescent="0.2">
      <c r="A183" s="18" t="s">
        <v>72</v>
      </c>
      <c r="B183" s="19" t="s">
        <v>10</v>
      </c>
      <c r="C183" s="19" t="s">
        <v>115</v>
      </c>
      <c r="D183" s="19" t="s">
        <v>152</v>
      </c>
      <c r="E183" s="19" t="s">
        <v>134</v>
      </c>
      <c r="F183" s="19" t="s">
        <v>73</v>
      </c>
      <c r="G183" s="20">
        <f>502602+2440000+800000</f>
        <v>3742602</v>
      </c>
      <c r="H183" s="20">
        <v>0</v>
      </c>
      <c r="I183" s="20">
        <f>502602+2440000+800000</f>
        <v>3742602</v>
      </c>
      <c r="J183" s="20">
        <f>502602+2635000+800000</f>
        <v>3937602</v>
      </c>
      <c r="K183" s="20">
        <v>0</v>
      </c>
      <c r="L183" s="20">
        <f>502602+2635000+800000</f>
        <v>3937602</v>
      </c>
      <c r="M183" s="20">
        <f>502602+2845000+800000</f>
        <v>4147602</v>
      </c>
      <c r="N183" s="20">
        <v>0</v>
      </c>
      <c r="O183" s="20">
        <f>502602+2845000+800000</f>
        <v>4147602</v>
      </c>
    </row>
    <row r="184" spans="1:15" s="2" customFormat="1" x14ac:dyDescent="0.2">
      <c r="A184" s="11" t="s">
        <v>225</v>
      </c>
      <c r="B184" s="12" t="s">
        <v>10</v>
      </c>
      <c r="C184" s="12" t="s">
        <v>43</v>
      </c>
      <c r="D184" s="12" t="s">
        <v>0</v>
      </c>
      <c r="E184" s="12" t="s">
        <v>0</v>
      </c>
      <c r="F184" s="12" t="s">
        <v>0</v>
      </c>
      <c r="G184" s="30">
        <f t="shared" ref="G184:L185" si="137">G185</f>
        <v>39085401.289999999</v>
      </c>
      <c r="H184" s="30">
        <v>0</v>
      </c>
      <c r="I184" s="30">
        <f t="shared" si="137"/>
        <v>39085401.289999999</v>
      </c>
      <c r="J184" s="30">
        <f t="shared" si="137"/>
        <v>42569072.93</v>
      </c>
      <c r="K184" s="30">
        <v>0</v>
      </c>
      <c r="L184" s="30">
        <f t="shared" si="137"/>
        <v>42569072.93</v>
      </c>
      <c r="M184" s="30">
        <f>M185</f>
        <v>41964148.359999999</v>
      </c>
      <c r="N184" s="30">
        <v>0</v>
      </c>
      <c r="O184" s="30">
        <f>O185</f>
        <v>41964148.359999999</v>
      </c>
    </row>
    <row r="185" spans="1:15" s="2" customFormat="1" x14ac:dyDescent="0.2">
      <c r="A185" s="11" t="s">
        <v>216</v>
      </c>
      <c r="B185" s="12" t="s">
        <v>10</v>
      </c>
      <c r="C185" s="12" t="s">
        <v>43</v>
      </c>
      <c r="D185" s="12" t="s">
        <v>107</v>
      </c>
      <c r="E185" s="12" t="s">
        <v>0</v>
      </c>
      <c r="F185" s="12" t="s">
        <v>0</v>
      </c>
      <c r="G185" s="30">
        <f t="shared" si="137"/>
        <v>39085401.289999999</v>
      </c>
      <c r="H185" s="30">
        <v>0</v>
      </c>
      <c r="I185" s="30">
        <f t="shared" si="137"/>
        <v>39085401.289999999</v>
      </c>
      <c r="J185" s="30">
        <f t="shared" si="137"/>
        <v>42569072.93</v>
      </c>
      <c r="K185" s="30">
        <v>0</v>
      </c>
      <c r="L185" s="30">
        <f t="shared" si="137"/>
        <v>42569072.93</v>
      </c>
      <c r="M185" s="30">
        <f>M186</f>
        <v>41964148.359999999</v>
      </c>
      <c r="N185" s="30">
        <v>0</v>
      </c>
      <c r="O185" s="30">
        <f>O186</f>
        <v>41964148.359999999</v>
      </c>
    </row>
    <row r="186" spans="1:15" s="2" customFormat="1" x14ac:dyDescent="0.2">
      <c r="A186" s="11" t="s">
        <v>209</v>
      </c>
      <c r="B186" s="12" t="s">
        <v>10</v>
      </c>
      <c r="C186" s="12" t="s">
        <v>43</v>
      </c>
      <c r="D186" s="12" t="s">
        <v>107</v>
      </c>
      <c r="E186" s="12" t="s">
        <v>217</v>
      </c>
      <c r="F186" s="12" t="s">
        <v>0</v>
      </c>
      <c r="G186" s="30">
        <f t="shared" ref="G186:L187" si="138">G187</f>
        <v>39085401.289999999</v>
      </c>
      <c r="H186" s="30">
        <v>0</v>
      </c>
      <c r="I186" s="30">
        <f t="shared" si="138"/>
        <v>39085401.289999999</v>
      </c>
      <c r="J186" s="30">
        <f t="shared" si="138"/>
        <v>42569072.93</v>
      </c>
      <c r="K186" s="30">
        <v>0</v>
      </c>
      <c r="L186" s="30">
        <f t="shared" si="138"/>
        <v>42569072.93</v>
      </c>
      <c r="M186" s="30">
        <f>M187</f>
        <v>41964148.359999999</v>
      </c>
      <c r="N186" s="30">
        <v>0</v>
      </c>
      <c r="O186" s="30">
        <f>O187</f>
        <v>41964148.359999999</v>
      </c>
    </row>
    <row r="187" spans="1:15" s="2" customFormat="1" ht="27" x14ac:dyDescent="0.2">
      <c r="A187" s="15" t="s">
        <v>124</v>
      </c>
      <c r="B187" s="16" t="s">
        <v>10</v>
      </c>
      <c r="C187" s="16" t="s">
        <v>43</v>
      </c>
      <c r="D187" s="16" t="s">
        <v>107</v>
      </c>
      <c r="E187" s="16" t="s">
        <v>218</v>
      </c>
      <c r="F187" s="16" t="s">
        <v>0</v>
      </c>
      <c r="G187" s="33">
        <f t="shared" si="138"/>
        <v>39085401.289999999</v>
      </c>
      <c r="H187" s="33">
        <v>0</v>
      </c>
      <c r="I187" s="33">
        <f t="shared" si="138"/>
        <v>39085401.289999999</v>
      </c>
      <c r="J187" s="33">
        <f t="shared" si="138"/>
        <v>42569072.93</v>
      </c>
      <c r="K187" s="33">
        <v>0</v>
      </c>
      <c r="L187" s="33">
        <f t="shared" si="138"/>
        <v>42569072.93</v>
      </c>
      <c r="M187" s="33">
        <f>M188</f>
        <v>41964148.359999999</v>
      </c>
      <c r="N187" s="33">
        <v>0</v>
      </c>
      <c r="O187" s="33">
        <f>O188</f>
        <v>41964148.359999999</v>
      </c>
    </row>
    <row r="188" spans="1:15" s="2" customFormat="1" ht="25.5" x14ac:dyDescent="0.2">
      <c r="A188" s="54" t="s">
        <v>249</v>
      </c>
      <c r="B188" s="53" t="s">
        <v>10</v>
      </c>
      <c r="C188" s="53" t="s">
        <v>43</v>
      </c>
      <c r="D188" s="53" t="s">
        <v>107</v>
      </c>
      <c r="E188" s="53" t="s">
        <v>218</v>
      </c>
      <c r="F188" s="53">
        <v>600</v>
      </c>
      <c r="G188" s="29">
        <v>39085401.289999999</v>
      </c>
      <c r="H188" s="29">
        <v>0</v>
      </c>
      <c r="I188" s="29">
        <v>39085401.289999999</v>
      </c>
      <c r="J188" s="29">
        <v>42569072.93</v>
      </c>
      <c r="K188" s="29">
        <v>0</v>
      </c>
      <c r="L188" s="29">
        <v>42569072.93</v>
      </c>
      <c r="M188" s="29">
        <v>41964148.359999999</v>
      </c>
      <c r="N188" s="29">
        <v>0</v>
      </c>
      <c r="O188" s="29">
        <v>41964148.359999999</v>
      </c>
    </row>
    <row r="189" spans="1:15" s="2" customFormat="1" x14ac:dyDescent="0.2">
      <c r="A189" s="11" t="s">
        <v>226</v>
      </c>
      <c r="B189" s="12" t="s">
        <v>10</v>
      </c>
      <c r="C189" s="12" t="s">
        <v>93</v>
      </c>
      <c r="D189" s="12" t="s">
        <v>0</v>
      </c>
      <c r="E189" s="12" t="s">
        <v>0</v>
      </c>
      <c r="F189" s="12" t="s">
        <v>0</v>
      </c>
      <c r="G189" s="13">
        <f t="shared" ref="G189:I193" si="139">G190</f>
        <v>3753356</v>
      </c>
      <c r="H189" s="13">
        <v>0</v>
      </c>
      <c r="I189" s="13">
        <f t="shared" si="139"/>
        <v>3753356</v>
      </c>
      <c r="J189" s="13">
        <f t="shared" ref="J189:L193" si="140">J190</f>
        <v>3644235</v>
      </c>
      <c r="K189" s="13">
        <v>0</v>
      </c>
      <c r="L189" s="13">
        <f t="shared" si="140"/>
        <v>3644235</v>
      </c>
      <c r="M189" s="13">
        <f>M190</f>
        <v>3753562</v>
      </c>
      <c r="N189" s="13">
        <v>0</v>
      </c>
      <c r="O189" s="13">
        <f>O190</f>
        <v>3753562</v>
      </c>
    </row>
    <row r="190" spans="1:15" s="2" customFormat="1" x14ac:dyDescent="0.2">
      <c r="A190" s="11" t="s">
        <v>140</v>
      </c>
      <c r="B190" s="12" t="s">
        <v>10</v>
      </c>
      <c r="C190" s="12" t="s">
        <v>93</v>
      </c>
      <c r="D190" s="12" t="s">
        <v>32</v>
      </c>
      <c r="E190" s="12" t="s">
        <v>0</v>
      </c>
      <c r="F190" s="12" t="s">
        <v>0</v>
      </c>
      <c r="G190" s="13">
        <f t="shared" si="139"/>
        <v>3753356</v>
      </c>
      <c r="H190" s="13">
        <v>0</v>
      </c>
      <c r="I190" s="13">
        <f t="shared" si="139"/>
        <v>3753356</v>
      </c>
      <c r="J190" s="13">
        <f t="shared" si="140"/>
        <v>3644235</v>
      </c>
      <c r="K190" s="13">
        <v>0</v>
      </c>
      <c r="L190" s="13">
        <f t="shared" si="140"/>
        <v>3644235</v>
      </c>
      <c r="M190" s="13">
        <f>M191</f>
        <v>3753562</v>
      </c>
      <c r="N190" s="13">
        <v>0</v>
      </c>
      <c r="O190" s="13">
        <f>O191</f>
        <v>3753562</v>
      </c>
    </row>
    <row r="191" spans="1:15" s="2" customFormat="1" x14ac:dyDescent="0.2">
      <c r="A191" s="11" t="s">
        <v>141</v>
      </c>
      <c r="B191" s="12" t="s">
        <v>10</v>
      </c>
      <c r="C191" s="12" t="s">
        <v>93</v>
      </c>
      <c r="D191" s="12" t="s">
        <v>32</v>
      </c>
      <c r="E191" s="12" t="s">
        <v>142</v>
      </c>
      <c r="F191" s="12" t="s">
        <v>0</v>
      </c>
      <c r="G191" s="13">
        <f t="shared" si="139"/>
        <v>3753356</v>
      </c>
      <c r="H191" s="13">
        <v>0</v>
      </c>
      <c r="I191" s="13">
        <f t="shared" si="139"/>
        <v>3753356</v>
      </c>
      <c r="J191" s="13">
        <f t="shared" si="140"/>
        <v>3644235</v>
      </c>
      <c r="K191" s="13">
        <v>0</v>
      </c>
      <c r="L191" s="13">
        <f t="shared" si="140"/>
        <v>3644235</v>
      </c>
      <c r="M191" s="13">
        <f>M192</f>
        <v>3753562</v>
      </c>
      <c r="N191" s="13">
        <v>0</v>
      </c>
      <c r="O191" s="13">
        <f>O192</f>
        <v>3753562</v>
      </c>
    </row>
    <row r="192" spans="1:15" s="2" customFormat="1" ht="15" customHeight="1" x14ac:dyDescent="0.2">
      <c r="A192" s="11" t="s">
        <v>143</v>
      </c>
      <c r="B192" s="12" t="s">
        <v>10</v>
      </c>
      <c r="C192" s="12" t="s">
        <v>93</v>
      </c>
      <c r="D192" s="12" t="s">
        <v>32</v>
      </c>
      <c r="E192" s="12" t="s">
        <v>144</v>
      </c>
      <c r="F192" s="12" t="s">
        <v>0</v>
      </c>
      <c r="G192" s="13">
        <f t="shared" si="139"/>
        <v>3753356</v>
      </c>
      <c r="H192" s="13">
        <v>0</v>
      </c>
      <c r="I192" s="13">
        <f t="shared" si="139"/>
        <v>3753356</v>
      </c>
      <c r="J192" s="13">
        <f t="shared" si="140"/>
        <v>3644235</v>
      </c>
      <c r="K192" s="13">
        <v>0</v>
      </c>
      <c r="L192" s="13">
        <f t="shared" si="140"/>
        <v>3644235</v>
      </c>
      <c r="M192" s="13">
        <f>M193</f>
        <v>3753562</v>
      </c>
      <c r="N192" s="13">
        <v>0</v>
      </c>
      <c r="O192" s="13">
        <f>O193</f>
        <v>3753562</v>
      </c>
    </row>
    <row r="193" spans="1:15" s="2" customFormat="1" ht="13.5" x14ac:dyDescent="0.2">
      <c r="A193" s="15" t="s">
        <v>145</v>
      </c>
      <c r="B193" s="16" t="s">
        <v>10</v>
      </c>
      <c r="C193" s="16" t="s">
        <v>93</v>
      </c>
      <c r="D193" s="16" t="s">
        <v>32</v>
      </c>
      <c r="E193" s="16" t="s">
        <v>146</v>
      </c>
      <c r="F193" s="16" t="s">
        <v>0</v>
      </c>
      <c r="G193" s="17">
        <f t="shared" si="139"/>
        <v>3753356</v>
      </c>
      <c r="H193" s="17">
        <v>0</v>
      </c>
      <c r="I193" s="17">
        <f t="shared" si="139"/>
        <v>3753356</v>
      </c>
      <c r="J193" s="17">
        <f t="shared" si="140"/>
        <v>3644235</v>
      </c>
      <c r="K193" s="17">
        <v>0</v>
      </c>
      <c r="L193" s="17">
        <f t="shared" si="140"/>
        <v>3644235</v>
      </c>
      <c r="M193" s="17">
        <f>M194</f>
        <v>3753562</v>
      </c>
      <c r="N193" s="17">
        <v>0</v>
      </c>
      <c r="O193" s="17">
        <f>O194</f>
        <v>3753562</v>
      </c>
    </row>
    <row r="194" spans="1:15" s="2" customFormat="1" x14ac:dyDescent="0.2">
      <c r="A194" s="18" t="s">
        <v>22</v>
      </c>
      <c r="B194" s="19" t="s">
        <v>10</v>
      </c>
      <c r="C194" s="19" t="s">
        <v>93</v>
      </c>
      <c r="D194" s="19" t="s">
        <v>32</v>
      </c>
      <c r="E194" s="19" t="s">
        <v>146</v>
      </c>
      <c r="F194" s="19" t="s">
        <v>23</v>
      </c>
      <c r="G194" s="20">
        <f>425568+3327788</f>
        <v>3753356</v>
      </c>
      <c r="H194" s="20">
        <v>0</v>
      </c>
      <c r="I194" s="20">
        <f>425568+3327788</f>
        <v>3753356</v>
      </c>
      <c r="J194" s="20">
        <f>216665+3427570</f>
        <v>3644235</v>
      </c>
      <c r="K194" s="20">
        <v>0</v>
      </c>
      <c r="L194" s="20">
        <f>216665+3427570</f>
        <v>3644235</v>
      </c>
      <c r="M194" s="20">
        <f>223165+3530397</f>
        <v>3753562</v>
      </c>
      <c r="N194" s="20">
        <v>0</v>
      </c>
      <c r="O194" s="20">
        <f>223165+3530397</f>
        <v>3753562</v>
      </c>
    </row>
    <row r="195" spans="1:15" s="2" customFormat="1" ht="12.75" customHeight="1" x14ac:dyDescent="0.2">
      <c r="A195" s="11" t="s">
        <v>227</v>
      </c>
      <c r="B195" s="12" t="s">
        <v>10</v>
      </c>
      <c r="C195" s="12" t="s">
        <v>77</v>
      </c>
      <c r="D195" s="12" t="s">
        <v>0</v>
      </c>
      <c r="E195" s="12" t="s">
        <v>0</v>
      </c>
      <c r="F195" s="12" t="s">
        <v>0</v>
      </c>
      <c r="G195" s="13">
        <f t="shared" ref="G195:I199" si="141">G196</f>
        <v>987439.46</v>
      </c>
      <c r="H195" s="13">
        <v>0</v>
      </c>
      <c r="I195" s="13">
        <f t="shared" si="141"/>
        <v>987439.46</v>
      </c>
      <c r="J195" s="13">
        <f t="shared" ref="J195:L199" si="142">J196</f>
        <v>987439.46</v>
      </c>
      <c r="K195" s="13">
        <v>0</v>
      </c>
      <c r="L195" s="13">
        <f t="shared" si="142"/>
        <v>987439.46</v>
      </c>
      <c r="M195" s="13">
        <f>M196</f>
        <v>987439.46</v>
      </c>
      <c r="N195" s="13">
        <v>0</v>
      </c>
      <c r="O195" s="13">
        <f>O196</f>
        <v>987439.46</v>
      </c>
    </row>
    <row r="196" spans="1:15" s="2" customFormat="1" x14ac:dyDescent="0.2">
      <c r="A196" s="11" t="s">
        <v>147</v>
      </c>
      <c r="B196" s="12" t="s">
        <v>10</v>
      </c>
      <c r="C196" s="12" t="s">
        <v>77</v>
      </c>
      <c r="D196" s="12" t="s">
        <v>13</v>
      </c>
      <c r="E196" s="12" t="s">
        <v>0</v>
      </c>
      <c r="F196" s="12" t="s">
        <v>0</v>
      </c>
      <c r="G196" s="13">
        <f t="shared" si="141"/>
        <v>987439.46</v>
      </c>
      <c r="H196" s="13">
        <v>0</v>
      </c>
      <c r="I196" s="13">
        <f t="shared" si="141"/>
        <v>987439.46</v>
      </c>
      <c r="J196" s="13">
        <f t="shared" si="142"/>
        <v>987439.46</v>
      </c>
      <c r="K196" s="13">
        <v>0</v>
      </c>
      <c r="L196" s="13">
        <f t="shared" si="142"/>
        <v>987439.46</v>
      </c>
      <c r="M196" s="13">
        <f>M197</f>
        <v>987439.46</v>
      </c>
      <c r="N196" s="13">
        <v>0</v>
      </c>
      <c r="O196" s="13">
        <f>O197</f>
        <v>987439.46</v>
      </c>
    </row>
    <row r="197" spans="1:15" s="2" customFormat="1" ht="14.45" customHeight="1" x14ac:dyDescent="0.2">
      <c r="A197" s="11" t="s">
        <v>14</v>
      </c>
      <c r="B197" s="12" t="s">
        <v>10</v>
      </c>
      <c r="C197" s="12" t="s">
        <v>77</v>
      </c>
      <c r="D197" s="12" t="s">
        <v>13</v>
      </c>
      <c r="E197" s="12" t="s">
        <v>15</v>
      </c>
      <c r="F197" s="12" t="s">
        <v>0</v>
      </c>
      <c r="G197" s="13">
        <f t="shared" si="141"/>
        <v>987439.46</v>
      </c>
      <c r="H197" s="13">
        <v>0</v>
      </c>
      <c r="I197" s="13">
        <f t="shared" si="141"/>
        <v>987439.46</v>
      </c>
      <c r="J197" s="13">
        <f t="shared" si="142"/>
        <v>987439.46</v>
      </c>
      <c r="K197" s="13">
        <v>0</v>
      </c>
      <c r="L197" s="13">
        <f t="shared" si="142"/>
        <v>987439.46</v>
      </c>
      <c r="M197" s="13">
        <f>M198</f>
        <v>987439.46</v>
      </c>
      <c r="N197" s="13">
        <v>0</v>
      </c>
      <c r="O197" s="13">
        <f>O198</f>
        <v>987439.46</v>
      </c>
    </row>
    <row r="198" spans="1:15" s="2" customFormat="1" x14ac:dyDescent="0.2">
      <c r="A198" s="11" t="s">
        <v>86</v>
      </c>
      <c r="B198" s="12" t="s">
        <v>10</v>
      </c>
      <c r="C198" s="12" t="s">
        <v>77</v>
      </c>
      <c r="D198" s="12" t="s">
        <v>13</v>
      </c>
      <c r="E198" s="12" t="s">
        <v>148</v>
      </c>
      <c r="F198" s="12" t="s">
        <v>0</v>
      </c>
      <c r="G198" s="13">
        <f t="shared" si="141"/>
        <v>987439.46</v>
      </c>
      <c r="H198" s="13">
        <v>0</v>
      </c>
      <c r="I198" s="13">
        <f t="shared" si="141"/>
        <v>987439.46</v>
      </c>
      <c r="J198" s="13">
        <f t="shared" si="142"/>
        <v>987439.46</v>
      </c>
      <c r="K198" s="13">
        <v>0</v>
      </c>
      <c r="L198" s="13">
        <f t="shared" si="142"/>
        <v>987439.46</v>
      </c>
      <c r="M198" s="13">
        <f>M199</f>
        <v>987439.46</v>
      </c>
      <c r="N198" s="13">
        <v>0</v>
      </c>
      <c r="O198" s="13">
        <f>O199</f>
        <v>987439.46</v>
      </c>
    </row>
    <row r="199" spans="1:15" s="2" customFormat="1" ht="49.5" customHeight="1" x14ac:dyDescent="0.2">
      <c r="A199" s="15" t="s">
        <v>149</v>
      </c>
      <c r="B199" s="16" t="s">
        <v>10</v>
      </c>
      <c r="C199" s="16" t="s">
        <v>77</v>
      </c>
      <c r="D199" s="16" t="s">
        <v>13</v>
      </c>
      <c r="E199" s="16" t="s">
        <v>150</v>
      </c>
      <c r="F199" s="16" t="s">
        <v>0</v>
      </c>
      <c r="G199" s="17">
        <f t="shared" si="141"/>
        <v>987439.46</v>
      </c>
      <c r="H199" s="17">
        <v>0</v>
      </c>
      <c r="I199" s="17">
        <f t="shared" si="141"/>
        <v>987439.46</v>
      </c>
      <c r="J199" s="17">
        <f t="shared" si="142"/>
        <v>987439.46</v>
      </c>
      <c r="K199" s="17">
        <v>0</v>
      </c>
      <c r="L199" s="17">
        <f t="shared" si="142"/>
        <v>987439.46</v>
      </c>
      <c r="M199" s="17">
        <f>M200</f>
        <v>987439.46</v>
      </c>
      <c r="N199" s="17">
        <v>0</v>
      </c>
      <c r="O199" s="17">
        <f>O200</f>
        <v>987439.46</v>
      </c>
    </row>
    <row r="200" spans="1:15" s="2" customFormat="1" x14ac:dyDescent="0.2">
      <c r="A200" s="18" t="s">
        <v>86</v>
      </c>
      <c r="B200" s="19" t="s">
        <v>10</v>
      </c>
      <c r="C200" s="19" t="s">
        <v>77</v>
      </c>
      <c r="D200" s="19" t="s">
        <v>13</v>
      </c>
      <c r="E200" s="19" t="s">
        <v>150</v>
      </c>
      <c r="F200" s="19" t="s">
        <v>87</v>
      </c>
      <c r="G200" s="20">
        <f>987439+0.46</f>
        <v>987439.46</v>
      </c>
      <c r="H200" s="20">
        <v>0</v>
      </c>
      <c r="I200" s="20">
        <f>987439+0.46</f>
        <v>987439.46</v>
      </c>
      <c r="J200" s="20">
        <f>987439+0.46</f>
        <v>987439.46</v>
      </c>
      <c r="K200" s="20">
        <v>0</v>
      </c>
      <c r="L200" s="20">
        <f>987439+0.46</f>
        <v>987439.46</v>
      </c>
      <c r="M200" s="20">
        <f>987439+0.46</f>
        <v>987439.46</v>
      </c>
      <c r="N200" s="20">
        <v>0</v>
      </c>
      <c r="O200" s="20">
        <f>987439+0.46</f>
        <v>987439.46</v>
      </c>
    </row>
    <row r="201" spans="1:15" s="9" customFormat="1" x14ac:dyDescent="0.2">
      <c r="A201" s="45" t="s">
        <v>155</v>
      </c>
      <c r="B201" s="38" t="s">
        <v>10</v>
      </c>
      <c r="C201" s="38" t="s">
        <v>0</v>
      </c>
      <c r="D201" s="38" t="s">
        <v>0</v>
      </c>
      <c r="E201" s="38" t="s">
        <v>0</v>
      </c>
      <c r="F201" s="38" t="s">
        <v>0</v>
      </c>
      <c r="G201" s="25">
        <f t="shared" ref="G201:I205" si="143">G202</f>
        <v>4927986</v>
      </c>
      <c r="H201" s="25">
        <f t="shared" si="143"/>
        <v>0</v>
      </c>
      <c r="I201" s="25">
        <f t="shared" si="143"/>
        <v>4927986</v>
      </c>
      <c r="J201" s="25">
        <f t="shared" ref="J201:L205" si="144">J202</f>
        <v>5046893</v>
      </c>
      <c r="K201" s="25">
        <v>0</v>
      </c>
      <c r="L201" s="25">
        <f t="shared" si="144"/>
        <v>5046893</v>
      </c>
      <c r="M201" s="25">
        <f>M202</f>
        <v>5260498</v>
      </c>
      <c r="N201" s="25">
        <v>0</v>
      </c>
      <c r="O201" s="25">
        <f>O202</f>
        <v>5260498</v>
      </c>
    </row>
    <row r="202" spans="1:15" s="2" customFormat="1" x14ac:dyDescent="0.2">
      <c r="A202" s="11" t="s">
        <v>229</v>
      </c>
      <c r="B202" s="12" t="s">
        <v>10</v>
      </c>
      <c r="C202" s="12" t="s">
        <v>11</v>
      </c>
      <c r="D202" s="12" t="s">
        <v>0</v>
      </c>
      <c r="E202" s="12" t="s">
        <v>0</v>
      </c>
      <c r="F202" s="12" t="s">
        <v>0</v>
      </c>
      <c r="G202" s="13">
        <f t="shared" si="143"/>
        <v>4927986</v>
      </c>
      <c r="H202" s="13">
        <v>0</v>
      </c>
      <c r="I202" s="13">
        <f t="shared" si="143"/>
        <v>4927986</v>
      </c>
      <c r="J202" s="13">
        <f t="shared" si="144"/>
        <v>5046893</v>
      </c>
      <c r="K202" s="13">
        <v>0</v>
      </c>
      <c r="L202" s="13">
        <f t="shared" si="144"/>
        <v>5046893</v>
      </c>
      <c r="M202" s="13">
        <f>M203</f>
        <v>5260498</v>
      </c>
      <c r="N202" s="13">
        <v>0</v>
      </c>
      <c r="O202" s="13">
        <f>O203</f>
        <v>5260498</v>
      </c>
    </row>
    <row r="203" spans="1:15" s="2" customFormat="1" ht="27.75" customHeight="1" x14ac:dyDescent="0.2">
      <c r="A203" s="11" t="s">
        <v>151</v>
      </c>
      <c r="B203" s="12" t="s">
        <v>10</v>
      </c>
      <c r="C203" s="12" t="s">
        <v>11</v>
      </c>
      <c r="D203" s="12" t="s">
        <v>152</v>
      </c>
      <c r="E203" s="12" t="s">
        <v>0</v>
      </c>
      <c r="F203" s="12" t="s">
        <v>0</v>
      </c>
      <c r="G203" s="13">
        <f t="shared" si="143"/>
        <v>4927986</v>
      </c>
      <c r="H203" s="13">
        <v>0</v>
      </c>
      <c r="I203" s="13">
        <f t="shared" si="143"/>
        <v>4927986</v>
      </c>
      <c r="J203" s="13">
        <f t="shared" si="144"/>
        <v>5046893</v>
      </c>
      <c r="K203" s="13">
        <v>0</v>
      </c>
      <c r="L203" s="13">
        <f t="shared" si="144"/>
        <v>5046893</v>
      </c>
      <c r="M203" s="13">
        <f>M204</f>
        <v>5260498</v>
      </c>
      <c r="N203" s="13">
        <v>0</v>
      </c>
      <c r="O203" s="13">
        <f>O204</f>
        <v>5260498</v>
      </c>
    </row>
    <row r="204" spans="1:15" s="2" customFormat="1" x14ac:dyDescent="0.2">
      <c r="A204" s="11" t="s">
        <v>14</v>
      </c>
      <c r="B204" s="12" t="s">
        <v>10</v>
      </c>
      <c r="C204" s="12" t="s">
        <v>11</v>
      </c>
      <c r="D204" s="12" t="s">
        <v>152</v>
      </c>
      <c r="E204" s="12" t="s">
        <v>15</v>
      </c>
      <c r="F204" s="12" t="s">
        <v>0</v>
      </c>
      <c r="G204" s="13">
        <f t="shared" si="143"/>
        <v>4927986</v>
      </c>
      <c r="H204" s="13">
        <v>0</v>
      </c>
      <c r="I204" s="13">
        <f t="shared" si="143"/>
        <v>4927986</v>
      </c>
      <c r="J204" s="13">
        <f t="shared" si="144"/>
        <v>5046893</v>
      </c>
      <c r="K204" s="13">
        <v>0</v>
      </c>
      <c r="L204" s="13">
        <f t="shared" si="144"/>
        <v>5046893</v>
      </c>
      <c r="M204" s="13">
        <f>M205</f>
        <v>5260498</v>
      </c>
      <c r="N204" s="13">
        <v>0</v>
      </c>
      <c r="O204" s="13">
        <f>O205</f>
        <v>5260498</v>
      </c>
    </row>
    <row r="205" spans="1:15" s="2" customFormat="1" ht="25.5" x14ac:dyDescent="0.2">
      <c r="A205" s="11" t="s">
        <v>16</v>
      </c>
      <c r="B205" s="12" t="s">
        <v>10</v>
      </c>
      <c r="C205" s="12" t="s">
        <v>11</v>
      </c>
      <c r="D205" s="12" t="s">
        <v>152</v>
      </c>
      <c r="E205" s="12" t="s">
        <v>17</v>
      </c>
      <c r="F205" s="12" t="s">
        <v>0</v>
      </c>
      <c r="G205" s="13">
        <f t="shared" si="143"/>
        <v>4927986</v>
      </c>
      <c r="H205" s="13">
        <v>0</v>
      </c>
      <c r="I205" s="13">
        <f t="shared" si="143"/>
        <v>4927986</v>
      </c>
      <c r="J205" s="13">
        <f t="shared" si="144"/>
        <v>5046893</v>
      </c>
      <c r="K205" s="13">
        <v>0</v>
      </c>
      <c r="L205" s="13">
        <f t="shared" si="144"/>
        <v>5046893</v>
      </c>
      <c r="M205" s="13">
        <f>M206</f>
        <v>5260498</v>
      </c>
      <c r="N205" s="13">
        <v>0</v>
      </c>
      <c r="O205" s="13">
        <f>O206</f>
        <v>5260498</v>
      </c>
    </row>
    <row r="206" spans="1:15" s="2" customFormat="1" ht="27" x14ac:dyDescent="0.2">
      <c r="A206" s="15" t="s">
        <v>153</v>
      </c>
      <c r="B206" s="16" t="s">
        <v>10</v>
      </c>
      <c r="C206" s="16" t="s">
        <v>11</v>
      </c>
      <c r="D206" s="16" t="s">
        <v>152</v>
      </c>
      <c r="E206" s="16" t="s">
        <v>154</v>
      </c>
      <c r="F206" s="16" t="s">
        <v>0</v>
      </c>
      <c r="G206" s="17">
        <f t="shared" ref="G206:J206" si="145">G207+G208+G209</f>
        <v>4927986</v>
      </c>
      <c r="H206" s="17">
        <v>0</v>
      </c>
      <c r="I206" s="17">
        <f t="shared" ref="I206" si="146">I207+I208+I209</f>
        <v>4927986</v>
      </c>
      <c r="J206" s="17">
        <f t="shared" si="145"/>
        <v>5046893</v>
      </c>
      <c r="K206" s="17">
        <v>0</v>
      </c>
      <c r="L206" s="17">
        <f t="shared" ref="L206" si="147">L207+L208+L209</f>
        <v>5046893</v>
      </c>
      <c r="M206" s="17">
        <f>M207+M208+M209</f>
        <v>5260498</v>
      </c>
      <c r="N206" s="17">
        <v>0</v>
      </c>
      <c r="O206" s="17">
        <f>O207+O208+O209</f>
        <v>5260498</v>
      </c>
    </row>
    <row r="207" spans="1:15" s="2" customFormat="1" x14ac:dyDescent="0.2">
      <c r="A207" s="18" t="s">
        <v>20</v>
      </c>
      <c r="B207" s="19" t="s">
        <v>10</v>
      </c>
      <c r="C207" s="19" t="s">
        <v>11</v>
      </c>
      <c r="D207" s="19" t="s">
        <v>152</v>
      </c>
      <c r="E207" s="19" t="s">
        <v>154</v>
      </c>
      <c r="F207" s="19" t="s">
        <v>21</v>
      </c>
      <c r="G207" s="20">
        <f>3457825+5550+56644+137068+1044263</f>
        <v>4701350</v>
      </c>
      <c r="H207" s="20">
        <v>0</v>
      </c>
      <c r="I207" s="20">
        <f>3457825+5550+56644+137068+1044263</f>
        <v>4701350</v>
      </c>
      <c r="J207" s="20">
        <f>3582307+5750+143005+1081856</f>
        <v>4812918</v>
      </c>
      <c r="K207" s="20">
        <v>0</v>
      </c>
      <c r="L207" s="20">
        <f>3582307+5750+143005+1081856</f>
        <v>4812918</v>
      </c>
      <c r="M207" s="20">
        <f>3689776+5930+61030+149113+1114312</f>
        <v>5020161</v>
      </c>
      <c r="N207" s="20">
        <v>0</v>
      </c>
      <c r="O207" s="20">
        <f>3689776+5930+61030+149113+1114312</f>
        <v>5020161</v>
      </c>
    </row>
    <row r="208" spans="1:15" s="2" customFormat="1" x14ac:dyDescent="0.2">
      <c r="A208" s="18" t="s">
        <v>22</v>
      </c>
      <c r="B208" s="19" t="s">
        <v>10</v>
      </c>
      <c r="C208" s="19" t="s">
        <v>11</v>
      </c>
      <c r="D208" s="19" t="s">
        <v>152</v>
      </c>
      <c r="E208" s="19" t="s">
        <v>154</v>
      </c>
      <c r="F208" s="19" t="s">
        <v>23</v>
      </c>
      <c r="G208" s="20">
        <f>24000+6200+184996</f>
        <v>215196</v>
      </c>
      <c r="H208" s="20">
        <v>0</v>
      </c>
      <c r="I208" s="20">
        <f>24000+6200+184996</f>
        <v>215196</v>
      </c>
      <c r="J208" s="20">
        <f>24000+6423+191700</f>
        <v>222123</v>
      </c>
      <c r="K208" s="20">
        <v>0</v>
      </c>
      <c r="L208" s="20">
        <f>24000+6423+191700</f>
        <v>222123</v>
      </c>
      <c r="M208" s="20">
        <f>24000+6616+197514</f>
        <v>228130</v>
      </c>
      <c r="N208" s="20">
        <v>0</v>
      </c>
      <c r="O208" s="20">
        <f>24000+6616+197514</f>
        <v>228130</v>
      </c>
    </row>
    <row r="209" spans="1:15" s="2" customFormat="1" x14ac:dyDescent="0.2">
      <c r="A209" s="18" t="s">
        <v>40</v>
      </c>
      <c r="B209" s="19" t="s">
        <v>10</v>
      </c>
      <c r="C209" s="19" t="s">
        <v>11</v>
      </c>
      <c r="D209" s="19" t="s">
        <v>152</v>
      </c>
      <c r="E209" s="19" t="s">
        <v>154</v>
      </c>
      <c r="F209" s="19" t="s">
        <v>41</v>
      </c>
      <c r="G209" s="20">
        <v>11440</v>
      </c>
      <c r="H209" s="20">
        <v>0</v>
      </c>
      <c r="I209" s="20">
        <v>11440</v>
      </c>
      <c r="J209" s="20">
        <v>11852</v>
      </c>
      <c r="K209" s="20">
        <v>0</v>
      </c>
      <c r="L209" s="20">
        <v>11852</v>
      </c>
      <c r="M209" s="20">
        <v>12207</v>
      </c>
      <c r="N209" s="20">
        <v>0</v>
      </c>
      <c r="O209" s="20">
        <v>12207</v>
      </c>
    </row>
    <row r="210" spans="1:15" s="9" customFormat="1" ht="25.5" x14ac:dyDescent="0.2">
      <c r="A210" s="45" t="s">
        <v>212</v>
      </c>
      <c r="B210" s="38" t="s">
        <v>10</v>
      </c>
      <c r="C210" s="38" t="s">
        <v>0</v>
      </c>
      <c r="D210" s="38" t="s">
        <v>0</v>
      </c>
      <c r="E210" s="38" t="s">
        <v>0</v>
      </c>
      <c r="F210" s="38" t="s">
        <v>0</v>
      </c>
      <c r="G210" s="25">
        <f>G211+G217+G238</f>
        <v>321947408</v>
      </c>
      <c r="H210" s="25">
        <f>H211+H217+H238</f>
        <v>117794309.44999999</v>
      </c>
      <c r="I210" s="25">
        <f>I211+I217+I238</f>
        <v>439741717.44999999</v>
      </c>
      <c r="J210" s="25">
        <f t="shared" ref="J210:L210" si="148">J211+J217+J238</f>
        <v>229757552</v>
      </c>
      <c r="K210" s="25">
        <v>0</v>
      </c>
      <c r="L210" s="25">
        <f t="shared" si="148"/>
        <v>229757552</v>
      </c>
      <c r="M210" s="25">
        <f>M211+M217+M238</f>
        <v>226237794</v>
      </c>
      <c r="N210" s="25">
        <v>0</v>
      </c>
      <c r="O210" s="25">
        <f>O211+O217+O238</f>
        <v>226237794</v>
      </c>
    </row>
    <row r="211" spans="1:15" s="9" customFormat="1" x14ac:dyDescent="0.2">
      <c r="A211" s="59" t="s">
        <v>240</v>
      </c>
      <c r="B211" s="52" t="s">
        <v>10</v>
      </c>
      <c r="C211" s="52" t="s">
        <v>11</v>
      </c>
      <c r="D211" s="52" t="s">
        <v>0</v>
      </c>
      <c r="E211" s="52" t="s">
        <v>0</v>
      </c>
      <c r="F211" s="52" t="s">
        <v>0</v>
      </c>
      <c r="G211" s="34">
        <f t="shared" ref="G211:L215" si="149">G212</f>
        <v>1398084</v>
      </c>
      <c r="H211" s="34">
        <v>0</v>
      </c>
      <c r="I211" s="34">
        <f t="shared" si="149"/>
        <v>1398084</v>
      </c>
      <c r="J211" s="34">
        <f t="shared" si="149"/>
        <v>0</v>
      </c>
      <c r="K211" s="34">
        <v>0</v>
      </c>
      <c r="L211" s="34">
        <f t="shared" si="149"/>
        <v>0</v>
      </c>
      <c r="M211" s="34">
        <f>M212</f>
        <v>0</v>
      </c>
      <c r="N211" s="34">
        <v>0</v>
      </c>
      <c r="O211" s="34">
        <f>O212</f>
        <v>0</v>
      </c>
    </row>
    <row r="212" spans="1:15" s="9" customFormat="1" x14ac:dyDescent="0.2">
      <c r="A212" s="59" t="s">
        <v>50</v>
      </c>
      <c r="B212" s="52" t="s">
        <v>10</v>
      </c>
      <c r="C212" s="52" t="s">
        <v>11</v>
      </c>
      <c r="D212" s="52" t="s">
        <v>51</v>
      </c>
      <c r="E212" s="52" t="s">
        <v>0</v>
      </c>
      <c r="F212" s="52" t="s">
        <v>0</v>
      </c>
      <c r="G212" s="34">
        <f t="shared" si="149"/>
        <v>1398084</v>
      </c>
      <c r="H212" s="34">
        <v>0</v>
      </c>
      <c r="I212" s="34">
        <f t="shared" si="149"/>
        <v>1398084</v>
      </c>
      <c r="J212" s="34">
        <f t="shared" si="149"/>
        <v>0</v>
      </c>
      <c r="K212" s="34">
        <v>0</v>
      </c>
      <c r="L212" s="34">
        <f t="shared" si="149"/>
        <v>0</v>
      </c>
      <c r="M212" s="34">
        <f>M213</f>
        <v>0</v>
      </c>
      <c r="N212" s="34">
        <v>0</v>
      </c>
      <c r="O212" s="34">
        <f>O213</f>
        <v>0</v>
      </c>
    </row>
    <row r="213" spans="1:15" s="9" customFormat="1" x14ac:dyDescent="0.2">
      <c r="A213" s="59" t="s">
        <v>52</v>
      </c>
      <c r="B213" s="52" t="s">
        <v>10</v>
      </c>
      <c r="C213" s="52" t="s">
        <v>11</v>
      </c>
      <c r="D213" s="52" t="s">
        <v>51</v>
      </c>
      <c r="E213" s="52" t="s">
        <v>53</v>
      </c>
      <c r="F213" s="52" t="s">
        <v>0</v>
      </c>
      <c r="G213" s="34">
        <f t="shared" si="149"/>
        <v>1398084</v>
      </c>
      <c r="H213" s="34">
        <v>0</v>
      </c>
      <c r="I213" s="34">
        <f t="shared" si="149"/>
        <v>1398084</v>
      </c>
      <c r="J213" s="34">
        <f t="shared" si="149"/>
        <v>0</v>
      </c>
      <c r="K213" s="34">
        <v>0</v>
      </c>
      <c r="L213" s="34">
        <f t="shared" si="149"/>
        <v>0</v>
      </c>
      <c r="M213" s="34">
        <f>M214</f>
        <v>0</v>
      </c>
      <c r="N213" s="34">
        <v>0</v>
      </c>
      <c r="O213" s="34">
        <f>O214</f>
        <v>0</v>
      </c>
    </row>
    <row r="214" spans="1:15" s="9" customFormat="1" x14ac:dyDescent="0.2">
      <c r="A214" s="59" t="s">
        <v>54</v>
      </c>
      <c r="B214" s="52" t="s">
        <v>10</v>
      </c>
      <c r="C214" s="52" t="s">
        <v>11</v>
      </c>
      <c r="D214" s="52" t="s">
        <v>51</v>
      </c>
      <c r="E214" s="52" t="s">
        <v>55</v>
      </c>
      <c r="F214" s="52" t="s">
        <v>0</v>
      </c>
      <c r="G214" s="34">
        <f t="shared" si="149"/>
        <v>1398084</v>
      </c>
      <c r="H214" s="34">
        <v>0</v>
      </c>
      <c r="I214" s="34">
        <f t="shared" si="149"/>
        <v>1398084</v>
      </c>
      <c r="J214" s="34">
        <f t="shared" si="149"/>
        <v>0</v>
      </c>
      <c r="K214" s="34">
        <v>0</v>
      </c>
      <c r="L214" s="34">
        <f t="shared" si="149"/>
        <v>0</v>
      </c>
      <c r="M214" s="34">
        <f>M215</f>
        <v>0</v>
      </c>
      <c r="N214" s="34">
        <v>0</v>
      </c>
      <c r="O214" s="34">
        <f>O215</f>
        <v>0</v>
      </c>
    </row>
    <row r="215" spans="1:15" s="9" customFormat="1" ht="13.5" x14ac:dyDescent="0.2">
      <c r="A215" s="51" t="s">
        <v>58</v>
      </c>
      <c r="B215" s="55" t="s">
        <v>10</v>
      </c>
      <c r="C215" s="55" t="s">
        <v>11</v>
      </c>
      <c r="D215" s="55" t="s">
        <v>51</v>
      </c>
      <c r="E215" s="55" t="s">
        <v>59</v>
      </c>
      <c r="F215" s="55" t="s">
        <v>0</v>
      </c>
      <c r="G215" s="28">
        <f t="shared" si="149"/>
        <v>1398084</v>
      </c>
      <c r="H215" s="28">
        <v>0</v>
      </c>
      <c r="I215" s="28">
        <f t="shared" si="149"/>
        <v>1398084</v>
      </c>
      <c r="J215" s="28">
        <f t="shared" si="149"/>
        <v>0</v>
      </c>
      <c r="K215" s="28">
        <v>0</v>
      </c>
      <c r="L215" s="28">
        <f t="shared" si="149"/>
        <v>0</v>
      </c>
      <c r="M215" s="28">
        <f>M216</f>
        <v>0</v>
      </c>
      <c r="N215" s="28">
        <v>0</v>
      </c>
      <c r="O215" s="28">
        <f>O216</f>
        <v>0</v>
      </c>
    </row>
    <row r="216" spans="1:15" s="9" customFormat="1" x14ac:dyDescent="0.2">
      <c r="A216" s="18" t="s">
        <v>22</v>
      </c>
      <c r="B216" s="53" t="s">
        <v>10</v>
      </c>
      <c r="C216" s="53" t="s">
        <v>11</v>
      </c>
      <c r="D216" s="53" t="s">
        <v>51</v>
      </c>
      <c r="E216" s="53" t="s">
        <v>59</v>
      </c>
      <c r="F216" s="53" t="s">
        <v>23</v>
      </c>
      <c r="G216" s="29">
        <f>1398084</f>
        <v>1398084</v>
      </c>
      <c r="H216" s="29">
        <v>0</v>
      </c>
      <c r="I216" s="29">
        <f>1398084</f>
        <v>1398084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</row>
    <row r="217" spans="1:15" s="2" customFormat="1" x14ac:dyDescent="0.2">
      <c r="A217" s="11" t="s">
        <v>221</v>
      </c>
      <c r="B217" s="12" t="s">
        <v>10</v>
      </c>
      <c r="C217" s="12" t="s">
        <v>32</v>
      </c>
      <c r="D217" s="12" t="s">
        <v>0</v>
      </c>
      <c r="E217" s="12" t="s">
        <v>0</v>
      </c>
      <c r="F217" s="12" t="s">
        <v>0</v>
      </c>
      <c r="G217" s="13">
        <f>G218+G226</f>
        <v>148387136.19999999</v>
      </c>
      <c r="H217" s="13">
        <f>H218+H226</f>
        <v>5187594.93</v>
      </c>
      <c r="I217" s="13">
        <f t="shared" ref="I217:J217" si="150">I218+I226</f>
        <v>153574731.13</v>
      </c>
      <c r="J217" s="13">
        <f t="shared" si="150"/>
        <v>97729663</v>
      </c>
      <c r="K217" s="13">
        <v>0</v>
      </c>
      <c r="L217" s="13">
        <f t="shared" ref="L217" si="151">L218+L226</f>
        <v>97729663</v>
      </c>
      <c r="M217" s="13">
        <f>M218+M226</f>
        <v>101095260</v>
      </c>
      <c r="N217" s="13">
        <v>0</v>
      </c>
      <c r="O217" s="13">
        <f>O218+O226</f>
        <v>101095260</v>
      </c>
    </row>
    <row r="218" spans="1:15" s="2" customFormat="1" x14ac:dyDescent="0.2">
      <c r="A218" s="11" t="s">
        <v>156</v>
      </c>
      <c r="B218" s="12" t="s">
        <v>10</v>
      </c>
      <c r="C218" s="12" t="s">
        <v>32</v>
      </c>
      <c r="D218" s="12" t="s">
        <v>107</v>
      </c>
      <c r="E218" s="12" t="s">
        <v>0</v>
      </c>
      <c r="F218" s="12" t="s">
        <v>0</v>
      </c>
      <c r="G218" s="13">
        <f>G219</f>
        <v>2088320</v>
      </c>
      <c r="H218" s="13">
        <v>0</v>
      </c>
      <c r="I218" s="13">
        <f t="shared" ref="I218:L218" si="152">I219</f>
        <v>2088320</v>
      </c>
      <c r="J218" s="13">
        <f t="shared" si="152"/>
        <v>0</v>
      </c>
      <c r="K218" s="13">
        <v>0</v>
      </c>
      <c r="L218" s="13">
        <f t="shared" si="152"/>
        <v>0</v>
      </c>
      <c r="M218" s="13">
        <f>M219</f>
        <v>0</v>
      </c>
      <c r="N218" s="13">
        <v>0</v>
      </c>
      <c r="O218" s="13">
        <f>O219</f>
        <v>0</v>
      </c>
    </row>
    <row r="219" spans="1:15" s="2" customFormat="1" ht="25.5" x14ac:dyDescent="0.2">
      <c r="A219" s="11" t="s">
        <v>157</v>
      </c>
      <c r="B219" s="12" t="s">
        <v>10</v>
      </c>
      <c r="C219" s="12" t="s">
        <v>32</v>
      </c>
      <c r="D219" s="12" t="s">
        <v>107</v>
      </c>
      <c r="E219" s="12" t="s">
        <v>158</v>
      </c>
      <c r="F219" s="12" t="s">
        <v>0</v>
      </c>
      <c r="G219" s="13">
        <f t="shared" ref="G219:J219" si="153">G220+G223</f>
        <v>2088320</v>
      </c>
      <c r="H219" s="13">
        <v>0</v>
      </c>
      <c r="I219" s="13">
        <f t="shared" ref="I219" si="154">I220+I223</f>
        <v>2088320</v>
      </c>
      <c r="J219" s="13">
        <f t="shared" si="153"/>
        <v>0</v>
      </c>
      <c r="K219" s="13">
        <v>0</v>
      </c>
      <c r="L219" s="13">
        <f t="shared" ref="L219" si="155">L220+L223</f>
        <v>0</v>
      </c>
      <c r="M219" s="13">
        <f>M220+M223</f>
        <v>0</v>
      </c>
      <c r="N219" s="13">
        <v>0</v>
      </c>
      <c r="O219" s="13">
        <f>O220+O223</f>
        <v>0</v>
      </c>
    </row>
    <row r="220" spans="1:15" s="2" customFormat="1" ht="25.5" hidden="1" outlineLevel="1" x14ac:dyDescent="0.2">
      <c r="A220" s="11" t="s">
        <v>159</v>
      </c>
      <c r="B220" s="12" t="s">
        <v>10</v>
      </c>
      <c r="C220" s="12" t="s">
        <v>32</v>
      </c>
      <c r="D220" s="12" t="s">
        <v>107</v>
      </c>
      <c r="E220" s="12" t="s">
        <v>160</v>
      </c>
      <c r="F220" s="12" t="s">
        <v>0</v>
      </c>
      <c r="G220" s="13">
        <f t="shared" ref="G220:L221" si="156">G221</f>
        <v>0</v>
      </c>
      <c r="H220" s="13"/>
      <c r="I220" s="13">
        <f t="shared" si="156"/>
        <v>0</v>
      </c>
      <c r="J220" s="13">
        <f t="shared" si="156"/>
        <v>0</v>
      </c>
      <c r="K220" s="13"/>
      <c r="L220" s="13">
        <f t="shared" si="156"/>
        <v>0</v>
      </c>
      <c r="M220" s="13">
        <f>M221</f>
        <v>0</v>
      </c>
      <c r="N220" s="13"/>
      <c r="O220" s="13">
        <f>O221</f>
        <v>0</v>
      </c>
    </row>
    <row r="221" spans="1:15" s="2" customFormat="1" ht="54" hidden="1" outlineLevel="1" x14ac:dyDescent="0.2">
      <c r="A221" s="15" t="s">
        <v>161</v>
      </c>
      <c r="B221" s="16" t="s">
        <v>10</v>
      </c>
      <c r="C221" s="16" t="s">
        <v>32</v>
      </c>
      <c r="D221" s="16" t="s">
        <v>107</v>
      </c>
      <c r="E221" s="16" t="s">
        <v>162</v>
      </c>
      <c r="F221" s="16" t="s">
        <v>0</v>
      </c>
      <c r="G221" s="17">
        <f t="shared" si="156"/>
        <v>0</v>
      </c>
      <c r="H221" s="17"/>
      <c r="I221" s="17">
        <f t="shared" si="156"/>
        <v>0</v>
      </c>
      <c r="J221" s="17">
        <f t="shared" si="156"/>
        <v>0</v>
      </c>
      <c r="K221" s="17"/>
      <c r="L221" s="17">
        <f t="shared" si="156"/>
        <v>0</v>
      </c>
      <c r="M221" s="17">
        <f>M222</f>
        <v>0</v>
      </c>
      <c r="N221" s="17"/>
      <c r="O221" s="17">
        <f>O222</f>
        <v>0</v>
      </c>
    </row>
    <row r="222" spans="1:15" s="2" customFormat="1" hidden="1" outlineLevel="1" x14ac:dyDescent="0.2">
      <c r="A222" s="18" t="s">
        <v>22</v>
      </c>
      <c r="B222" s="19" t="s">
        <v>10</v>
      </c>
      <c r="C222" s="19" t="s">
        <v>32</v>
      </c>
      <c r="D222" s="19" t="s">
        <v>107</v>
      </c>
      <c r="E222" s="19" t="s">
        <v>162</v>
      </c>
      <c r="F222" s="19" t="s">
        <v>23</v>
      </c>
      <c r="G222" s="20">
        <v>0</v>
      </c>
      <c r="H222" s="20"/>
      <c r="I222" s="20">
        <v>0</v>
      </c>
      <c r="J222" s="20">
        <v>0</v>
      </c>
      <c r="K222" s="20"/>
      <c r="L222" s="20">
        <v>0</v>
      </c>
      <c r="M222" s="20">
        <v>0</v>
      </c>
      <c r="N222" s="20"/>
      <c r="O222" s="20">
        <v>0</v>
      </c>
    </row>
    <row r="223" spans="1:15" s="2" customFormat="1" collapsed="1" x14ac:dyDescent="0.2">
      <c r="A223" s="11" t="s">
        <v>233</v>
      </c>
      <c r="B223" s="12" t="s">
        <v>10</v>
      </c>
      <c r="C223" s="12" t="s">
        <v>32</v>
      </c>
      <c r="D223" s="12" t="s">
        <v>107</v>
      </c>
      <c r="E223" s="12" t="s">
        <v>232</v>
      </c>
      <c r="F223" s="12" t="s">
        <v>0</v>
      </c>
      <c r="G223" s="13">
        <f t="shared" ref="G223:L224" si="157">G224</f>
        <v>2088320</v>
      </c>
      <c r="H223" s="13">
        <v>0</v>
      </c>
      <c r="I223" s="13">
        <f t="shared" si="157"/>
        <v>2088320</v>
      </c>
      <c r="J223" s="13">
        <f t="shared" si="157"/>
        <v>0</v>
      </c>
      <c r="K223" s="13">
        <v>0</v>
      </c>
      <c r="L223" s="13">
        <f t="shared" si="157"/>
        <v>0</v>
      </c>
      <c r="M223" s="13">
        <f>M224</f>
        <v>0</v>
      </c>
      <c r="N223" s="13">
        <v>0</v>
      </c>
      <c r="O223" s="13">
        <f>O224</f>
        <v>0</v>
      </c>
    </row>
    <row r="224" spans="1:15" s="2" customFormat="1" ht="54" x14ac:dyDescent="0.2">
      <c r="A224" s="15" t="s">
        <v>161</v>
      </c>
      <c r="B224" s="16" t="s">
        <v>10</v>
      </c>
      <c r="C224" s="16" t="s">
        <v>32</v>
      </c>
      <c r="D224" s="16" t="s">
        <v>107</v>
      </c>
      <c r="E224" s="16" t="s">
        <v>231</v>
      </c>
      <c r="F224" s="16" t="s">
        <v>0</v>
      </c>
      <c r="G224" s="17">
        <f t="shared" si="157"/>
        <v>2088320</v>
      </c>
      <c r="H224" s="17">
        <v>0</v>
      </c>
      <c r="I224" s="17">
        <f t="shared" si="157"/>
        <v>2088320</v>
      </c>
      <c r="J224" s="17">
        <f t="shared" si="157"/>
        <v>0</v>
      </c>
      <c r="K224" s="17">
        <v>0</v>
      </c>
      <c r="L224" s="17">
        <f t="shared" si="157"/>
        <v>0</v>
      </c>
      <c r="M224" s="17">
        <f>M225</f>
        <v>0</v>
      </c>
      <c r="N224" s="17">
        <v>0</v>
      </c>
      <c r="O224" s="17">
        <f>O225</f>
        <v>0</v>
      </c>
    </row>
    <row r="225" spans="1:15" s="2" customFormat="1" x14ac:dyDescent="0.2">
      <c r="A225" s="18" t="s">
        <v>22</v>
      </c>
      <c r="B225" s="19" t="s">
        <v>10</v>
      </c>
      <c r="C225" s="19" t="s">
        <v>32</v>
      </c>
      <c r="D225" s="19" t="s">
        <v>107</v>
      </c>
      <c r="E225" s="19" t="s">
        <v>231</v>
      </c>
      <c r="F225" s="19" t="s">
        <v>23</v>
      </c>
      <c r="G225" s="20">
        <v>2088320</v>
      </c>
      <c r="H225" s="20">
        <v>0</v>
      </c>
      <c r="I225" s="20">
        <v>2088320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</row>
    <row r="226" spans="1:15" s="2" customFormat="1" x14ac:dyDescent="0.2">
      <c r="A226" s="11" t="s">
        <v>163</v>
      </c>
      <c r="B226" s="12" t="s">
        <v>10</v>
      </c>
      <c r="C226" s="12" t="s">
        <v>32</v>
      </c>
      <c r="D226" s="12" t="s">
        <v>164</v>
      </c>
      <c r="E226" s="12" t="s">
        <v>0</v>
      </c>
      <c r="F226" s="12" t="s">
        <v>0</v>
      </c>
      <c r="G226" s="13">
        <f>G227+G231</f>
        <v>146298816.19999999</v>
      </c>
      <c r="H226" s="13">
        <f>H227+H231</f>
        <v>5187594.93</v>
      </c>
      <c r="I226" s="13">
        <f>I227+I231</f>
        <v>151486411.13</v>
      </c>
      <c r="J226" s="13">
        <f t="shared" ref="J226:L226" si="158">J227+J231</f>
        <v>97729663</v>
      </c>
      <c r="K226" s="13">
        <v>0</v>
      </c>
      <c r="L226" s="13">
        <f t="shared" si="158"/>
        <v>97729663</v>
      </c>
      <c r="M226" s="13">
        <f>M227+M231</f>
        <v>101095260</v>
      </c>
      <c r="N226" s="13">
        <v>0</v>
      </c>
      <c r="O226" s="13">
        <f>O227+O231</f>
        <v>101095260</v>
      </c>
    </row>
    <row r="227" spans="1:15" s="2" customFormat="1" x14ac:dyDescent="0.2">
      <c r="A227" s="11" t="s">
        <v>165</v>
      </c>
      <c r="B227" s="12" t="s">
        <v>10</v>
      </c>
      <c r="C227" s="12" t="s">
        <v>32</v>
      </c>
      <c r="D227" s="12" t="s">
        <v>164</v>
      </c>
      <c r="E227" s="12" t="s">
        <v>166</v>
      </c>
      <c r="F227" s="12" t="s">
        <v>0</v>
      </c>
      <c r="G227" s="13">
        <f t="shared" ref="G227:I229" si="159">G228</f>
        <v>62240000</v>
      </c>
      <c r="H227" s="13">
        <f t="shared" si="159"/>
        <v>0</v>
      </c>
      <c r="I227" s="13">
        <f t="shared" si="159"/>
        <v>62240000</v>
      </c>
      <c r="J227" s="13">
        <f t="shared" ref="J227:L229" si="160">J228</f>
        <v>3538421</v>
      </c>
      <c r="K227" s="13">
        <v>0</v>
      </c>
      <c r="L227" s="13">
        <f t="shared" si="160"/>
        <v>3538421</v>
      </c>
      <c r="M227" s="13">
        <f>M228</f>
        <v>4078281</v>
      </c>
      <c r="N227" s="13">
        <v>0</v>
      </c>
      <c r="O227" s="13">
        <f>O228</f>
        <v>4078281</v>
      </c>
    </row>
    <row r="228" spans="1:15" s="2" customFormat="1" x14ac:dyDescent="0.2">
      <c r="A228" s="11" t="s">
        <v>167</v>
      </c>
      <c r="B228" s="12" t="s">
        <v>10</v>
      </c>
      <c r="C228" s="12" t="s">
        <v>32</v>
      </c>
      <c r="D228" s="12" t="s">
        <v>164</v>
      </c>
      <c r="E228" s="12" t="s">
        <v>168</v>
      </c>
      <c r="F228" s="12" t="s">
        <v>0</v>
      </c>
      <c r="G228" s="13">
        <f>G229</f>
        <v>62240000</v>
      </c>
      <c r="H228" s="13">
        <f>H229</f>
        <v>0</v>
      </c>
      <c r="I228" s="13">
        <f>I229</f>
        <v>62240000</v>
      </c>
      <c r="J228" s="13">
        <f t="shared" si="160"/>
        <v>3538421</v>
      </c>
      <c r="K228" s="13">
        <v>0</v>
      </c>
      <c r="L228" s="13">
        <f t="shared" si="160"/>
        <v>3538421</v>
      </c>
      <c r="M228" s="13">
        <f>M229</f>
        <v>4078281</v>
      </c>
      <c r="N228" s="13">
        <v>0</v>
      </c>
      <c r="O228" s="13">
        <f>O229</f>
        <v>4078281</v>
      </c>
    </row>
    <row r="229" spans="1:15" s="2" customFormat="1" ht="27" x14ac:dyDescent="0.2">
      <c r="A229" s="15" t="s">
        <v>169</v>
      </c>
      <c r="B229" s="16" t="s">
        <v>10</v>
      </c>
      <c r="C229" s="16" t="s">
        <v>32</v>
      </c>
      <c r="D229" s="16" t="s">
        <v>164</v>
      </c>
      <c r="E229" s="16" t="s">
        <v>170</v>
      </c>
      <c r="F229" s="16" t="s">
        <v>0</v>
      </c>
      <c r="G229" s="17">
        <f t="shared" si="159"/>
        <v>62240000</v>
      </c>
      <c r="H229" s="17">
        <f t="shared" si="159"/>
        <v>0</v>
      </c>
      <c r="I229" s="17">
        <f t="shared" si="159"/>
        <v>62240000</v>
      </c>
      <c r="J229" s="17">
        <f t="shared" si="160"/>
        <v>3538421</v>
      </c>
      <c r="K229" s="17">
        <v>0</v>
      </c>
      <c r="L229" s="17">
        <f t="shared" si="160"/>
        <v>3538421</v>
      </c>
      <c r="M229" s="17">
        <f>M230</f>
        <v>4078281</v>
      </c>
      <c r="N229" s="17">
        <v>0</v>
      </c>
      <c r="O229" s="17">
        <f>O230</f>
        <v>4078281</v>
      </c>
    </row>
    <row r="230" spans="1:15" s="2" customFormat="1" x14ac:dyDescent="0.2">
      <c r="A230" s="18" t="s">
        <v>22</v>
      </c>
      <c r="B230" s="19" t="s">
        <v>10</v>
      </c>
      <c r="C230" s="19" t="s">
        <v>32</v>
      </c>
      <c r="D230" s="19" t="s">
        <v>164</v>
      </c>
      <c r="E230" s="19" t="s">
        <v>170</v>
      </c>
      <c r="F230" s="19" t="s">
        <v>23</v>
      </c>
      <c r="G230" s="20">
        <f>22240000+20000000+20000000</f>
        <v>62240000</v>
      </c>
      <c r="H230" s="20">
        <v>0</v>
      </c>
      <c r="I230" s="20">
        <f>22240000+20000000+20000000</f>
        <v>62240000</v>
      </c>
      <c r="J230" s="20">
        <v>3538421</v>
      </c>
      <c r="K230" s="20">
        <v>0</v>
      </c>
      <c r="L230" s="20">
        <v>3538421</v>
      </c>
      <c r="M230" s="20">
        <v>4078281</v>
      </c>
      <c r="N230" s="20">
        <v>0</v>
      </c>
      <c r="O230" s="20">
        <v>4078281</v>
      </c>
    </row>
    <row r="231" spans="1:15" s="2" customFormat="1" ht="25.5" x14ac:dyDescent="0.2">
      <c r="A231" s="11" t="s">
        <v>171</v>
      </c>
      <c r="B231" s="12" t="s">
        <v>10</v>
      </c>
      <c r="C231" s="12" t="s">
        <v>32</v>
      </c>
      <c r="D231" s="12" t="s">
        <v>164</v>
      </c>
      <c r="E231" s="12" t="s">
        <v>172</v>
      </c>
      <c r="F231" s="12" t="s">
        <v>0</v>
      </c>
      <c r="G231" s="13">
        <f t="shared" ref="G231:O232" si="161">G232</f>
        <v>84058816.200000003</v>
      </c>
      <c r="H231" s="13">
        <f t="shared" si="161"/>
        <v>5187594.93</v>
      </c>
      <c r="I231" s="13">
        <f t="shared" si="161"/>
        <v>89246411.129999995</v>
      </c>
      <c r="J231" s="13">
        <f t="shared" si="161"/>
        <v>94191242</v>
      </c>
      <c r="K231" s="13">
        <f t="shared" si="161"/>
        <v>0</v>
      </c>
      <c r="L231" s="13">
        <f t="shared" si="161"/>
        <v>94191242</v>
      </c>
      <c r="M231" s="13">
        <f t="shared" si="161"/>
        <v>97016979</v>
      </c>
      <c r="N231" s="13">
        <f t="shared" si="161"/>
        <v>0</v>
      </c>
      <c r="O231" s="13">
        <f t="shared" si="161"/>
        <v>97016979</v>
      </c>
    </row>
    <row r="232" spans="1:15" s="2" customFormat="1" x14ac:dyDescent="0.2">
      <c r="A232" s="11" t="s">
        <v>173</v>
      </c>
      <c r="B232" s="12" t="s">
        <v>10</v>
      </c>
      <c r="C232" s="12" t="s">
        <v>32</v>
      </c>
      <c r="D232" s="12" t="s">
        <v>164</v>
      </c>
      <c r="E232" s="12" t="s">
        <v>174</v>
      </c>
      <c r="F232" s="12" t="s">
        <v>0</v>
      </c>
      <c r="G232" s="13">
        <f t="shared" si="161"/>
        <v>84058816.200000003</v>
      </c>
      <c r="H232" s="13">
        <f t="shared" si="161"/>
        <v>5187594.93</v>
      </c>
      <c r="I232" s="13">
        <f t="shared" si="161"/>
        <v>89246411.129999995</v>
      </c>
      <c r="J232" s="13">
        <f t="shared" si="161"/>
        <v>94191242</v>
      </c>
      <c r="K232" s="13">
        <f t="shared" si="161"/>
        <v>0</v>
      </c>
      <c r="L232" s="13">
        <f t="shared" si="161"/>
        <v>94191242</v>
      </c>
      <c r="M232" s="13">
        <f t="shared" si="161"/>
        <v>97016979</v>
      </c>
      <c r="N232" s="13">
        <f t="shared" si="161"/>
        <v>0</v>
      </c>
      <c r="O232" s="13">
        <f t="shared" si="161"/>
        <v>97016979</v>
      </c>
    </row>
    <row r="233" spans="1:15" s="2" customFormat="1" ht="27.75" customHeight="1" x14ac:dyDescent="0.2">
      <c r="A233" s="15" t="s">
        <v>175</v>
      </c>
      <c r="B233" s="16" t="s">
        <v>10</v>
      </c>
      <c r="C233" s="16" t="s">
        <v>32</v>
      </c>
      <c r="D233" s="16" t="s">
        <v>164</v>
      </c>
      <c r="E233" s="16" t="s">
        <v>176</v>
      </c>
      <c r="F233" s="16" t="s">
        <v>0</v>
      </c>
      <c r="G233" s="17">
        <f t="shared" ref="G233:H233" si="162">G234+G235</f>
        <v>84058816.200000003</v>
      </c>
      <c r="H233" s="17">
        <f t="shared" si="162"/>
        <v>5187594.93</v>
      </c>
      <c r="I233" s="17">
        <f t="shared" ref="I233:O233" si="163">I234+I235</f>
        <v>89246411.129999995</v>
      </c>
      <c r="J233" s="17">
        <f t="shared" si="163"/>
        <v>94191242</v>
      </c>
      <c r="K233" s="17">
        <f t="shared" si="163"/>
        <v>0</v>
      </c>
      <c r="L233" s="17">
        <f t="shared" si="163"/>
        <v>94191242</v>
      </c>
      <c r="M233" s="17">
        <f t="shared" si="163"/>
        <v>97016979</v>
      </c>
      <c r="N233" s="17">
        <f t="shared" si="163"/>
        <v>0</v>
      </c>
      <c r="O233" s="17">
        <f t="shared" si="163"/>
        <v>97016979</v>
      </c>
    </row>
    <row r="234" spans="1:15" s="2" customFormat="1" x14ac:dyDescent="0.2">
      <c r="A234" s="18" t="s">
        <v>22</v>
      </c>
      <c r="B234" s="19" t="s">
        <v>10</v>
      </c>
      <c r="C234" s="19" t="s">
        <v>32</v>
      </c>
      <c r="D234" s="19" t="s">
        <v>164</v>
      </c>
      <c r="E234" s="19" t="s">
        <v>176</v>
      </c>
      <c r="F234" s="19" t="s">
        <v>23</v>
      </c>
      <c r="G234" s="20">
        <f>700000+79915751.2+1200000+2243065</f>
        <v>84058816.200000003</v>
      </c>
      <c r="H234" s="20">
        <f>2680000+2507594.93</f>
        <v>5187594.93</v>
      </c>
      <c r="I234" s="20">
        <f>H234+G234</f>
        <v>89246411.129999995</v>
      </c>
      <c r="J234" s="20">
        <f>763803+93427439</f>
        <v>94191242</v>
      </c>
      <c r="K234" s="20">
        <v>0</v>
      </c>
      <c r="L234" s="20">
        <f>K234+J234</f>
        <v>94191242</v>
      </c>
      <c r="M234" s="20">
        <f>786717+96230262</f>
        <v>97016979</v>
      </c>
      <c r="N234" s="20">
        <v>0</v>
      </c>
      <c r="O234" s="20">
        <f>N234+M234</f>
        <v>97016979</v>
      </c>
    </row>
    <row r="235" spans="1:15" s="2" customFormat="1" ht="15.75" hidden="1" customHeight="1" outlineLevel="1" x14ac:dyDescent="0.2">
      <c r="A235" s="6" t="s">
        <v>271</v>
      </c>
      <c r="B235" s="19" t="s">
        <v>10</v>
      </c>
      <c r="C235" s="19" t="s">
        <v>32</v>
      </c>
      <c r="D235" s="19" t="s">
        <v>164</v>
      </c>
      <c r="E235" s="19" t="s">
        <v>176</v>
      </c>
      <c r="F235" s="19" t="s">
        <v>39</v>
      </c>
      <c r="G235" s="20">
        <v>0</v>
      </c>
      <c r="H235" s="20"/>
      <c r="I235" s="20"/>
      <c r="J235" s="20">
        <v>0</v>
      </c>
      <c r="K235" s="20"/>
      <c r="L235" s="20">
        <v>0</v>
      </c>
      <c r="M235" s="20">
        <v>0</v>
      </c>
      <c r="N235" s="20"/>
      <c r="O235" s="20">
        <v>0</v>
      </c>
    </row>
    <row r="236" spans="1:15" s="2" customFormat="1" ht="26.25" hidden="1" customHeight="1" outlineLevel="1" x14ac:dyDescent="0.2">
      <c r="A236" s="15" t="s">
        <v>177</v>
      </c>
      <c r="B236" s="16" t="s">
        <v>10</v>
      </c>
      <c r="C236" s="16" t="s">
        <v>32</v>
      </c>
      <c r="D236" s="16" t="s">
        <v>164</v>
      </c>
      <c r="E236" s="16" t="s">
        <v>178</v>
      </c>
      <c r="F236" s="16" t="s">
        <v>0</v>
      </c>
      <c r="G236" s="28">
        <f t="shared" ref="G236:L236" si="164">G237</f>
        <v>0</v>
      </c>
      <c r="H236" s="28"/>
      <c r="I236" s="28"/>
      <c r="J236" s="28">
        <f t="shared" si="164"/>
        <v>0</v>
      </c>
      <c r="K236" s="28"/>
      <c r="L236" s="28">
        <f t="shared" si="164"/>
        <v>0</v>
      </c>
      <c r="M236" s="28">
        <f>M237</f>
        <v>0</v>
      </c>
      <c r="N236" s="28"/>
      <c r="O236" s="28">
        <f>O237</f>
        <v>0</v>
      </c>
    </row>
    <row r="237" spans="1:15" s="2" customFormat="1" ht="13.5" hidden="1" customHeight="1" outlineLevel="1" x14ac:dyDescent="0.2">
      <c r="A237" s="18" t="s">
        <v>22</v>
      </c>
      <c r="B237" s="19" t="s">
        <v>10</v>
      </c>
      <c r="C237" s="19" t="s">
        <v>32</v>
      </c>
      <c r="D237" s="19" t="s">
        <v>164</v>
      </c>
      <c r="E237" s="19" t="s">
        <v>178</v>
      </c>
      <c r="F237" s="19" t="s">
        <v>23</v>
      </c>
      <c r="G237" s="20">
        <v>0</v>
      </c>
      <c r="H237" s="20"/>
      <c r="I237" s="20"/>
      <c r="J237" s="20">
        <v>0</v>
      </c>
      <c r="K237" s="20"/>
      <c r="L237" s="20">
        <v>0</v>
      </c>
      <c r="M237" s="20">
        <v>0</v>
      </c>
      <c r="N237" s="20"/>
      <c r="O237" s="20">
        <v>0</v>
      </c>
    </row>
    <row r="238" spans="1:15" s="2" customFormat="1" collapsed="1" x14ac:dyDescent="0.2">
      <c r="A238" s="11" t="s">
        <v>222</v>
      </c>
      <c r="B238" s="12" t="s">
        <v>10</v>
      </c>
      <c r="C238" s="12" t="s">
        <v>107</v>
      </c>
      <c r="D238" s="12" t="s">
        <v>0</v>
      </c>
      <c r="E238" s="12" t="s">
        <v>0</v>
      </c>
      <c r="F238" s="12" t="s">
        <v>0</v>
      </c>
      <c r="G238" s="13">
        <f>G239+G262+G276+G302</f>
        <v>172162187.80000001</v>
      </c>
      <c r="H238" s="13">
        <f>H239+H262+H276+H302</f>
        <v>112606714.52</v>
      </c>
      <c r="I238" s="13">
        <f>I239+I262+I276+I302</f>
        <v>284768902.31999999</v>
      </c>
      <c r="J238" s="13">
        <f>J239+J262+J276+J302</f>
        <v>132027889</v>
      </c>
      <c r="K238" s="13">
        <v>0</v>
      </c>
      <c r="L238" s="13">
        <f>L239+L262+L276+L302</f>
        <v>132027889</v>
      </c>
      <c r="M238" s="13">
        <f>M239+M262+M276+M302</f>
        <v>125142534</v>
      </c>
      <c r="N238" s="13">
        <v>0</v>
      </c>
      <c r="O238" s="13">
        <f>O239+O262+O276+O302</f>
        <v>125142534</v>
      </c>
    </row>
    <row r="239" spans="1:15" s="2" customFormat="1" x14ac:dyDescent="0.2">
      <c r="A239" s="11" t="s">
        <v>108</v>
      </c>
      <c r="B239" s="12" t="s">
        <v>10</v>
      </c>
      <c r="C239" s="12" t="s">
        <v>107</v>
      </c>
      <c r="D239" s="12" t="s">
        <v>11</v>
      </c>
      <c r="E239" s="12" t="s">
        <v>0</v>
      </c>
      <c r="F239" s="12" t="s">
        <v>0</v>
      </c>
      <c r="G239" s="13">
        <f>G240</f>
        <v>57559452.07</v>
      </c>
      <c r="H239" s="13">
        <f t="shared" ref="H239:L239" si="165">H240</f>
        <v>92040940.129999995</v>
      </c>
      <c r="I239" s="13">
        <f t="shared" si="165"/>
        <v>149600392.19999999</v>
      </c>
      <c r="J239" s="13">
        <f t="shared" si="165"/>
        <v>9454841</v>
      </c>
      <c r="K239" s="13">
        <v>0</v>
      </c>
      <c r="L239" s="13">
        <f t="shared" si="165"/>
        <v>9454841</v>
      </c>
      <c r="M239" s="13">
        <f>M240</f>
        <v>9738487</v>
      </c>
      <c r="N239" s="13">
        <v>0</v>
      </c>
      <c r="O239" s="13">
        <f>O240</f>
        <v>9738487</v>
      </c>
    </row>
    <row r="240" spans="1:15" s="2" customFormat="1" ht="28.5" customHeight="1" x14ac:dyDescent="0.2">
      <c r="A240" s="11" t="s">
        <v>94</v>
      </c>
      <c r="B240" s="12" t="s">
        <v>10</v>
      </c>
      <c r="C240" s="12" t="s">
        <v>107</v>
      </c>
      <c r="D240" s="12" t="s">
        <v>11</v>
      </c>
      <c r="E240" s="12" t="s">
        <v>95</v>
      </c>
      <c r="F240" s="12" t="s">
        <v>0</v>
      </c>
      <c r="G240" s="13">
        <f>G241+G244+G246+G255+G259+G242+G243</f>
        <v>57559452.07</v>
      </c>
      <c r="H240" s="13">
        <f>H241+H246+H255+H259</f>
        <v>92040940.129999995</v>
      </c>
      <c r="I240" s="13">
        <f>I241+I246+I255+I259</f>
        <v>149600392.19999999</v>
      </c>
      <c r="J240" s="13">
        <f t="shared" ref="J240:L240" si="166">J241+J244+J246+J255+J259</f>
        <v>9454841</v>
      </c>
      <c r="K240" s="13">
        <v>0</v>
      </c>
      <c r="L240" s="13">
        <f t="shared" si="166"/>
        <v>9454841</v>
      </c>
      <c r="M240" s="13">
        <f>M241+M244+M246+M255+M259</f>
        <v>9738487</v>
      </c>
      <c r="N240" s="13">
        <v>0</v>
      </c>
      <c r="O240" s="13">
        <f>O241+O244+O246+O255+O259</f>
        <v>9738487</v>
      </c>
    </row>
    <row r="241" spans="1:17" s="2" customFormat="1" ht="25.5" customHeight="1" x14ac:dyDescent="0.2">
      <c r="A241" s="15" t="s">
        <v>109</v>
      </c>
      <c r="B241" s="16" t="s">
        <v>10</v>
      </c>
      <c r="C241" s="16" t="s">
        <v>107</v>
      </c>
      <c r="D241" s="16" t="s">
        <v>11</v>
      </c>
      <c r="E241" s="16" t="s">
        <v>236</v>
      </c>
      <c r="F241" s="16" t="s">
        <v>0</v>
      </c>
      <c r="G241" s="17">
        <f>G243+G242</f>
        <v>0</v>
      </c>
      <c r="H241" s="17">
        <f>H243+H242</f>
        <v>7234889.7999999998</v>
      </c>
      <c r="I241" s="17">
        <f>I243+I242</f>
        <v>7234889.7999999998</v>
      </c>
      <c r="J241" s="17">
        <f t="shared" ref="J241:O241" si="167">J243+J242</f>
        <v>0</v>
      </c>
      <c r="K241" s="17">
        <f t="shared" si="167"/>
        <v>0</v>
      </c>
      <c r="L241" s="17">
        <f t="shared" si="167"/>
        <v>0</v>
      </c>
      <c r="M241" s="17">
        <f t="shared" si="167"/>
        <v>0</v>
      </c>
      <c r="N241" s="17">
        <f t="shared" si="167"/>
        <v>0</v>
      </c>
      <c r="O241" s="17">
        <f t="shared" si="167"/>
        <v>0</v>
      </c>
    </row>
    <row r="242" spans="1:17" s="10" customFormat="1" ht="13.5" hidden="1" x14ac:dyDescent="0.2">
      <c r="A242" s="54" t="s">
        <v>22</v>
      </c>
      <c r="B242" s="16">
        <v>801</v>
      </c>
      <c r="C242" s="16" t="s">
        <v>107</v>
      </c>
      <c r="D242" s="16" t="s">
        <v>11</v>
      </c>
      <c r="E242" s="19" t="s">
        <v>236</v>
      </c>
      <c r="F242" s="19">
        <v>200</v>
      </c>
      <c r="G242" s="57">
        <v>0</v>
      </c>
      <c r="H242" s="57"/>
      <c r="I242" s="57">
        <f>G242+H242</f>
        <v>0</v>
      </c>
      <c r="J242" s="57">
        <v>0</v>
      </c>
      <c r="K242" s="57">
        <v>0</v>
      </c>
      <c r="L242" s="57">
        <f>J242+K242</f>
        <v>0</v>
      </c>
      <c r="M242" s="57">
        <v>0</v>
      </c>
      <c r="N242" s="57">
        <v>0</v>
      </c>
      <c r="O242" s="57">
        <f>M242+N242</f>
        <v>0</v>
      </c>
    </row>
    <row r="243" spans="1:17" s="2" customFormat="1" ht="13.5" customHeight="1" x14ac:dyDescent="0.2">
      <c r="A243" s="6" t="s">
        <v>271</v>
      </c>
      <c r="B243" s="19" t="s">
        <v>10</v>
      </c>
      <c r="C243" s="19" t="s">
        <v>107</v>
      </c>
      <c r="D243" s="19" t="s">
        <v>11</v>
      </c>
      <c r="E243" s="19" t="s">
        <v>236</v>
      </c>
      <c r="F243" s="19" t="s">
        <v>39</v>
      </c>
      <c r="G243" s="20">
        <v>0</v>
      </c>
      <c r="H243" s="20">
        <f xml:space="preserve"> 3812000+3352889.8+70000</f>
        <v>7234889.7999999998</v>
      </c>
      <c r="I243" s="57">
        <f>G243+H243</f>
        <v>7234889.7999999998</v>
      </c>
      <c r="J243" s="20">
        <v>0</v>
      </c>
      <c r="K243" s="20">
        <v>0</v>
      </c>
      <c r="L243" s="57">
        <f>J243+K243</f>
        <v>0</v>
      </c>
      <c r="M243" s="20">
        <v>0</v>
      </c>
      <c r="N243" s="20">
        <v>0</v>
      </c>
      <c r="O243" s="57">
        <f>M243+N243</f>
        <v>0</v>
      </c>
      <c r="Q243" s="46"/>
    </row>
    <row r="244" spans="1:17" s="2" customFormat="1" ht="23.25" hidden="1" customHeight="1" outlineLevel="1" x14ac:dyDescent="0.2">
      <c r="A244" s="15" t="s">
        <v>244</v>
      </c>
      <c r="B244" s="16" t="s">
        <v>10</v>
      </c>
      <c r="C244" s="16" t="s">
        <v>107</v>
      </c>
      <c r="D244" s="16" t="s">
        <v>11</v>
      </c>
      <c r="E244" s="16" t="s">
        <v>243</v>
      </c>
      <c r="F244" s="16" t="s">
        <v>0</v>
      </c>
      <c r="G244" s="17">
        <f t="shared" ref="G244:I244" si="168">G245</f>
        <v>0</v>
      </c>
      <c r="H244" s="17">
        <v>0</v>
      </c>
      <c r="I244" s="17">
        <f t="shared" si="168"/>
        <v>0</v>
      </c>
      <c r="J244" s="17">
        <f t="shared" ref="J244:L244" si="169">J245</f>
        <v>0</v>
      </c>
      <c r="K244" s="17">
        <v>0</v>
      </c>
      <c r="L244" s="17">
        <f t="shared" si="169"/>
        <v>0</v>
      </c>
      <c r="M244" s="17">
        <f>M245</f>
        <v>0</v>
      </c>
      <c r="N244" s="17">
        <v>0</v>
      </c>
      <c r="O244" s="17">
        <f>O245</f>
        <v>0</v>
      </c>
    </row>
    <row r="245" spans="1:17" s="2" customFormat="1" ht="15" hidden="1" customHeight="1" outlineLevel="1" x14ac:dyDescent="0.2">
      <c r="A245" s="6" t="s">
        <v>271</v>
      </c>
      <c r="B245" s="19" t="s">
        <v>10</v>
      </c>
      <c r="C245" s="19" t="s">
        <v>107</v>
      </c>
      <c r="D245" s="19" t="s">
        <v>11</v>
      </c>
      <c r="E245" s="19" t="s">
        <v>243</v>
      </c>
      <c r="F245" s="19" t="s">
        <v>39</v>
      </c>
      <c r="G245" s="20">
        <v>0</v>
      </c>
      <c r="H245" s="20">
        <v>0</v>
      </c>
      <c r="I245" s="20">
        <f>G245+H245</f>
        <v>0</v>
      </c>
      <c r="J245" s="20">
        <v>0</v>
      </c>
      <c r="K245" s="20">
        <v>0</v>
      </c>
      <c r="L245" s="20">
        <f>J245+K245</f>
        <v>0</v>
      </c>
      <c r="M245" s="20">
        <v>0</v>
      </c>
      <c r="N245" s="20">
        <v>0</v>
      </c>
      <c r="O245" s="20">
        <f>M245+N245</f>
        <v>0</v>
      </c>
    </row>
    <row r="246" spans="1:17" s="2" customFormat="1" collapsed="1" x14ac:dyDescent="0.2">
      <c r="A246" s="11" t="s">
        <v>111</v>
      </c>
      <c r="B246" s="12" t="s">
        <v>10</v>
      </c>
      <c r="C246" s="12" t="s">
        <v>107</v>
      </c>
      <c r="D246" s="12" t="s">
        <v>11</v>
      </c>
      <c r="E246" s="12" t="s">
        <v>112</v>
      </c>
      <c r="F246" s="12" t="s">
        <v>0</v>
      </c>
      <c r="G246" s="13">
        <f>G247+G249+G252</f>
        <v>8160845</v>
      </c>
      <c r="H246" s="13">
        <f>H247+H249</f>
        <v>77037439.870000005</v>
      </c>
      <c r="I246" s="13">
        <f t="shared" ref="I246:J246" si="170">I247+I249+I252</f>
        <v>85198284.870000005</v>
      </c>
      <c r="J246" s="13">
        <f t="shared" si="170"/>
        <v>6317091</v>
      </c>
      <c r="K246" s="13">
        <v>0</v>
      </c>
      <c r="L246" s="13">
        <f t="shared" ref="L246" si="171">L247+L249+L252</f>
        <v>6317091</v>
      </c>
      <c r="M246" s="13">
        <f>M247+M249+M252</f>
        <v>6506604</v>
      </c>
      <c r="N246" s="13">
        <v>0</v>
      </c>
      <c r="O246" s="13">
        <f>O247+O249+O252</f>
        <v>6506604</v>
      </c>
      <c r="P246" s="46"/>
    </row>
    <row r="247" spans="1:17" s="2" customFormat="1" ht="27" x14ac:dyDescent="0.2">
      <c r="A247" s="15" t="s">
        <v>137</v>
      </c>
      <c r="B247" s="16" t="s">
        <v>10</v>
      </c>
      <c r="C247" s="16" t="s">
        <v>107</v>
      </c>
      <c r="D247" s="16" t="s">
        <v>11</v>
      </c>
      <c r="E247" s="16" t="s">
        <v>138</v>
      </c>
      <c r="F247" s="16" t="s">
        <v>0</v>
      </c>
      <c r="G247" s="17">
        <f t="shared" ref="G247:L247" si="172">G248</f>
        <v>3506604</v>
      </c>
      <c r="H247" s="17">
        <v>1500000</v>
      </c>
      <c r="I247" s="17">
        <f t="shared" si="172"/>
        <v>5006604</v>
      </c>
      <c r="J247" s="17">
        <f t="shared" si="172"/>
        <v>6317091</v>
      </c>
      <c r="K247" s="17">
        <v>0</v>
      </c>
      <c r="L247" s="17">
        <f t="shared" si="172"/>
        <v>6317091</v>
      </c>
      <c r="M247" s="17">
        <f>M248</f>
        <v>6506604</v>
      </c>
      <c r="N247" s="17">
        <v>0</v>
      </c>
      <c r="O247" s="17">
        <f>O248</f>
        <v>6506604</v>
      </c>
      <c r="Q247" s="46"/>
    </row>
    <row r="248" spans="1:17" s="2" customFormat="1" x14ac:dyDescent="0.2">
      <c r="A248" s="18" t="s">
        <v>22</v>
      </c>
      <c r="B248" s="19" t="s">
        <v>10</v>
      </c>
      <c r="C248" s="19" t="s">
        <v>107</v>
      </c>
      <c r="D248" s="19" t="s">
        <v>11</v>
      </c>
      <c r="E248" s="19" t="s">
        <v>138</v>
      </c>
      <c r="F248" s="19" t="s">
        <v>23</v>
      </c>
      <c r="G248" s="20">
        <v>3506604</v>
      </c>
      <c r="H248" s="20">
        <v>1500000</v>
      </c>
      <c r="I248" s="20">
        <f>G248+H248</f>
        <v>5006604</v>
      </c>
      <c r="J248" s="20">
        <v>6317091</v>
      </c>
      <c r="K248" s="20">
        <v>0</v>
      </c>
      <c r="L248" s="20">
        <v>6317091</v>
      </c>
      <c r="M248" s="20">
        <v>6506604</v>
      </c>
      <c r="N248" s="20">
        <v>0</v>
      </c>
      <c r="O248" s="20">
        <v>6506604</v>
      </c>
    </row>
    <row r="249" spans="1:17" s="2" customFormat="1" ht="13.5" x14ac:dyDescent="0.2">
      <c r="A249" s="15" t="s">
        <v>235</v>
      </c>
      <c r="B249" s="16" t="s">
        <v>10</v>
      </c>
      <c r="C249" s="16" t="s">
        <v>107</v>
      </c>
      <c r="D249" s="16" t="s">
        <v>11</v>
      </c>
      <c r="E249" s="16" t="s">
        <v>234</v>
      </c>
      <c r="F249" s="16" t="s">
        <v>0</v>
      </c>
      <c r="G249" s="17">
        <f t="shared" ref="G249:O249" si="173">G250+G251</f>
        <v>4654241</v>
      </c>
      <c r="H249" s="17">
        <f t="shared" si="173"/>
        <v>75537439.870000005</v>
      </c>
      <c r="I249" s="17">
        <f>I250+I251</f>
        <v>80191680.870000005</v>
      </c>
      <c r="J249" s="17">
        <f t="shared" si="173"/>
        <v>0</v>
      </c>
      <c r="K249" s="17">
        <f t="shared" si="173"/>
        <v>0</v>
      </c>
      <c r="L249" s="17">
        <f t="shared" si="173"/>
        <v>0</v>
      </c>
      <c r="M249" s="17">
        <f t="shared" si="173"/>
        <v>0</v>
      </c>
      <c r="N249" s="17">
        <f t="shared" si="173"/>
        <v>0</v>
      </c>
      <c r="O249" s="17">
        <f t="shared" si="173"/>
        <v>0</v>
      </c>
    </row>
    <row r="250" spans="1:17" s="2" customFormat="1" x14ac:dyDescent="0.2">
      <c r="A250" s="18" t="s">
        <v>22</v>
      </c>
      <c r="B250" s="19" t="s">
        <v>10</v>
      </c>
      <c r="C250" s="19" t="s">
        <v>107</v>
      </c>
      <c r="D250" s="19" t="s">
        <v>11</v>
      </c>
      <c r="E250" s="19" t="s">
        <v>234</v>
      </c>
      <c r="F250" s="19" t="s">
        <v>23</v>
      </c>
      <c r="G250" s="20">
        <f>458241+4196000</f>
        <v>4654241</v>
      </c>
      <c r="H250" s="20">
        <f>2138505.96+10412005.5+1786383.4+240000+24653974.25+13785634.12</f>
        <v>53016503.229999997</v>
      </c>
      <c r="I250" s="20">
        <f>H250+G250</f>
        <v>57670744.229999997</v>
      </c>
      <c r="J250" s="20">
        <v>0</v>
      </c>
      <c r="K250" s="20">
        <v>0</v>
      </c>
      <c r="L250" s="20">
        <f>K250+J250</f>
        <v>0</v>
      </c>
      <c r="M250" s="20">
        <v>0</v>
      </c>
      <c r="N250" s="20">
        <v>0</v>
      </c>
      <c r="O250" s="20">
        <f>N250+M250</f>
        <v>0</v>
      </c>
    </row>
    <row r="251" spans="1:17" s="2" customFormat="1" ht="15" customHeight="1" x14ac:dyDescent="0.2">
      <c r="A251" s="6" t="s">
        <v>271</v>
      </c>
      <c r="B251" s="19" t="s">
        <v>10</v>
      </c>
      <c r="C251" s="19" t="s">
        <v>107</v>
      </c>
      <c r="D251" s="19" t="s">
        <v>11</v>
      </c>
      <c r="E251" s="19" t="s">
        <v>234</v>
      </c>
      <c r="F251" s="19" t="s">
        <v>39</v>
      </c>
      <c r="G251" s="20">
        <v>0</v>
      </c>
      <c r="H251" s="20">
        <f xml:space="preserve"> 20078980+2441956.64</f>
        <v>22520936.640000001</v>
      </c>
      <c r="I251" s="20">
        <f t="shared" ref="I251:I254" si="174">H251+G251</f>
        <v>22520936.640000001</v>
      </c>
      <c r="J251" s="20">
        <v>0</v>
      </c>
      <c r="K251" s="20">
        <v>0</v>
      </c>
      <c r="L251" s="20">
        <f t="shared" ref="L251" si="175">K251+J251</f>
        <v>0</v>
      </c>
      <c r="M251" s="20">
        <v>0</v>
      </c>
      <c r="N251" s="20">
        <v>0</v>
      </c>
      <c r="O251" s="20">
        <f t="shared" ref="O251" si="176">N251+M251</f>
        <v>0</v>
      </c>
    </row>
    <row r="252" spans="1:17" s="2" customFormat="1" ht="12.75" hidden="1" customHeight="1" outlineLevel="1" x14ac:dyDescent="0.2">
      <c r="A252" s="15" t="s">
        <v>113</v>
      </c>
      <c r="B252" s="16" t="s">
        <v>10</v>
      </c>
      <c r="C252" s="16" t="s">
        <v>107</v>
      </c>
      <c r="D252" s="16" t="s">
        <v>11</v>
      </c>
      <c r="E252" s="16" t="s">
        <v>114</v>
      </c>
      <c r="F252" s="16" t="s">
        <v>0</v>
      </c>
      <c r="G252" s="17">
        <f t="shared" ref="G252:O252" si="177">G253+G254</f>
        <v>0</v>
      </c>
      <c r="H252" s="17">
        <f t="shared" si="177"/>
        <v>0</v>
      </c>
      <c r="I252" s="17">
        <f t="shared" si="177"/>
        <v>0</v>
      </c>
      <c r="J252" s="17">
        <f t="shared" si="177"/>
        <v>0</v>
      </c>
      <c r="K252" s="17">
        <f t="shared" si="177"/>
        <v>0</v>
      </c>
      <c r="L252" s="17">
        <f>L253+L254</f>
        <v>0</v>
      </c>
      <c r="M252" s="17">
        <f t="shared" si="177"/>
        <v>0</v>
      </c>
      <c r="N252" s="17">
        <f t="shared" si="177"/>
        <v>0</v>
      </c>
      <c r="O252" s="17">
        <f t="shared" si="177"/>
        <v>0</v>
      </c>
    </row>
    <row r="253" spans="1:17" s="2" customFormat="1" ht="12.75" hidden="1" customHeight="1" outlineLevel="1" x14ac:dyDescent="0.2">
      <c r="A253" s="18" t="s">
        <v>22</v>
      </c>
      <c r="B253" s="19" t="s">
        <v>10</v>
      </c>
      <c r="C253" s="19" t="s">
        <v>107</v>
      </c>
      <c r="D253" s="19" t="s">
        <v>11</v>
      </c>
      <c r="E253" s="19" t="s">
        <v>114</v>
      </c>
      <c r="F253" s="19" t="s">
        <v>23</v>
      </c>
      <c r="G253" s="20">
        <v>0</v>
      </c>
      <c r="H253" s="20">
        <v>0</v>
      </c>
      <c r="I253" s="20">
        <f t="shared" si="174"/>
        <v>0</v>
      </c>
      <c r="J253" s="20">
        <v>0</v>
      </c>
      <c r="K253" s="20">
        <v>0</v>
      </c>
      <c r="L253" s="20">
        <f t="shared" ref="L253:L254" si="178">K253+J253</f>
        <v>0</v>
      </c>
      <c r="M253" s="20">
        <v>0</v>
      </c>
      <c r="N253" s="20">
        <v>0</v>
      </c>
      <c r="O253" s="20">
        <f t="shared" ref="O253:O254" si="179">N253+M253</f>
        <v>0</v>
      </c>
    </row>
    <row r="254" spans="1:17" s="2" customFormat="1" ht="18" hidden="1" customHeight="1" outlineLevel="1" x14ac:dyDescent="0.2">
      <c r="A254" s="6" t="s">
        <v>271</v>
      </c>
      <c r="B254" s="19" t="s">
        <v>10</v>
      </c>
      <c r="C254" s="19" t="s">
        <v>107</v>
      </c>
      <c r="D254" s="19" t="s">
        <v>11</v>
      </c>
      <c r="E254" s="19" t="s">
        <v>114</v>
      </c>
      <c r="F254" s="19" t="s">
        <v>39</v>
      </c>
      <c r="G254" s="20">
        <v>0</v>
      </c>
      <c r="H254" s="20">
        <v>0</v>
      </c>
      <c r="I254" s="20">
        <f t="shared" si="174"/>
        <v>0</v>
      </c>
      <c r="J254" s="20">
        <v>0</v>
      </c>
      <c r="K254" s="20">
        <v>0</v>
      </c>
      <c r="L254" s="20">
        <f t="shared" si="178"/>
        <v>0</v>
      </c>
      <c r="M254" s="20">
        <v>0</v>
      </c>
      <c r="N254" s="20">
        <v>0</v>
      </c>
      <c r="O254" s="20">
        <f t="shared" si="179"/>
        <v>0</v>
      </c>
    </row>
    <row r="255" spans="1:17" s="14" customFormat="1" ht="13.5" customHeight="1" collapsed="1" x14ac:dyDescent="0.2">
      <c r="A255" s="11" t="s">
        <v>179</v>
      </c>
      <c r="B255" s="12" t="s">
        <v>10</v>
      </c>
      <c r="C255" s="12" t="s">
        <v>107</v>
      </c>
      <c r="D255" s="12" t="s">
        <v>11</v>
      </c>
      <c r="E255" s="12" t="s">
        <v>180</v>
      </c>
      <c r="F255" s="12" t="s">
        <v>0</v>
      </c>
      <c r="G255" s="13">
        <f t="shared" ref="G255:O255" si="180">G256</f>
        <v>48964127.07</v>
      </c>
      <c r="H255" s="13">
        <f t="shared" si="180"/>
        <v>7768610.46</v>
      </c>
      <c r="I255" s="13">
        <f t="shared" si="180"/>
        <v>56732737.530000001</v>
      </c>
      <c r="J255" s="13">
        <f t="shared" si="180"/>
        <v>2720700</v>
      </c>
      <c r="K255" s="13">
        <f t="shared" si="180"/>
        <v>0</v>
      </c>
      <c r="L255" s="13">
        <f t="shared" si="180"/>
        <v>2720700</v>
      </c>
      <c r="M255" s="13">
        <f t="shared" si="180"/>
        <v>2802321</v>
      </c>
      <c r="N255" s="13">
        <f t="shared" si="180"/>
        <v>0</v>
      </c>
      <c r="O255" s="13">
        <f t="shared" si="180"/>
        <v>2802321</v>
      </c>
    </row>
    <row r="256" spans="1:17" s="2" customFormat="1" ht="13.5" x14ac:dyDescent="0.2">
      <c r="A256" s="15" t="s">
        <v>181</v>
      </c>
      <c r="B256" s="16" t="s">
        <v>10</v>
      </c>
      <c r="C256" s="16" t="s">
        <v>107</v>
      </c>
      <c r="D256" s="16" t="s">
        <v>11</v>
      </c>
      <c r="E256" s="16" t="s">
        <v>182</v>
      </c>
      <c r="F256" s="16" t="s">
        <v>0</v>
      </c>
      <c r="G256" s="17">
        <f t="shared" ref="G256:O256" si="181">G257+G258</f>
        <v>48964127.07</v>
      </c>
      <c r="H256" s="17">
        <f t="shared" si="181"/>
        <v>7768610.46</v>
      </c>
      <c r="I256" s="17">
        <f t="shared" si="181"/>
        <v>56732737.530000001</v>
      </c>
      <c r="J256" s="17">
        <f t="shared" si="181"/>
        <v>2720700</v>
      </c>
      <c r="K256" s="17">
        <f t="shared" si="181"/>
        <v>0</v>
      </c>
      <c r="L256" s="17">
        <f t="shared" si="181"/>
        <v>2720700</v>
      </c>
      <c r="M256" s="17">
        <f t="shared" si="181"/>
        <v>2802321</v>
      </c>
      <c r="N256" s="17">
        <f t="shared" si="181"/>
        <v>0</v>
      </c>
      <c r="O256" s="17">
        <f t="shared" si="181"/>
        <v>2802321</v>
      </c>
    </row>
    <row r="257" spans="1:15" s="2" customFormat="1" x14ac:dyDescent="0.2">
      <c r="A257" s="18" t="s">
        <v>22</v>
      </c>
      <c r="B257" s="19" t="s">
        <v>10</v>
      </c>
      <c r="C257" s="19" t="s">
        <v>107</v>
      </c>
      <c r="D257" s="19" t="s">
        <v>11</v>
      </c>
      <c r="E257" s="19" t="s">
        <v>182</v>
      </c>
      <c r="F257" s="19" t="s">
        <v>23</v>
      </c>
      <c r="G257" s="20">
        <v>2802321</v>
      </c>
      <c r="H257" s="20">
        <f xml:space="preserve"> -705464.91+1499737.72</f>
        <v>794272.80999999994</v>
      </c>
      <c r="I257" s="20">
        <f>G257+H257</f>
        <v>3596593.81</v>
      </c>
      <c r="J257" s="20">
        <v>2720700</v>
      </c>
      <c r="K257" s="20">
        <v>0</v>
      </c>
      <c r="L257" s="20">
        <f>J257+K257</f>
        <v>2720700</v>
      </c>
      <c r="M257" s="20">
        <v>2802321</v>
      </c>
      <c r="N257" s="20">
        <v>0</v>
      </c>
      <c r="O257" s="20">
        <f>M257+N257</f>
        <v>2802321</v>
      </c>
    </row>
    <row r="258" spans="1:15" s="21" customFormat="1" x14ac:dyDescent="0.2">
      <c r="A258" s="18" t="s">
        <v>40</v>
      </c>
      <c r="B258" s="19" t="s">
        <v>10</v>
      </c>
      <c r="C258" s="19" t="s">
        <v>107</v>
      </c>
      <c r="D258" s="19" t="s">
        <v>11</v>
      </c>
      <c r="E258" s="19" t="s">
        <v>182</v>
      </c>
      <c r="F258" s="19" t="s">
        <v>41</v>
      </c>
      <c r="G258" s="20">
        <f>16161806.07+15000000+15000000</f>
        <v>46161806.07</v>
      </c>
      <c r="H258" s="20">
        <f>458104.14+5145234.66+705464.91+665533.94</f>
        <v>6974337.6500000004</v>
      </c>
      <c r="I258" s="20">
        <f>G258+H258</f>
        <v>53136143.719999999</v>
      </c>
      <c r="J258" s="20">
        <v>0</v>
      </c>
      <c r="K258" s="20">
        <v>0</v>
      </c>
      <c r="L258" s="20">
        <f>J258+K258</f>
        <v>0</v>
      </c>
      <c r="M258" s="20">
        <v>0</v>
      </c>
      <c r="N258" s="20">
        <v>0</v>
      </c>
      <c r="O258" s="20">
        <f>M258+N258</f>
        <v>0</v>
      </c>
    </row>
    <row r="259" spans="1:15" s="2" customFormat="1" ht="25.5" x14ac:dyDescent="0.2">
      <c r="A259" s="11" t="s">
        <v>183</v>
      </c>
      <c r="B259" s="12" t="s">
        <v>10</v>
      </c>
      <c r="C259" s="12" t="s">
        <v>107</v>
      </c>
      <c r="D259" s="12" t="s">
        <v>11</v>
      </c>
      <c r="E259" s="12" t="s">
        <v>184</v>
      </c>
      <c r="F259" s="12" t="s">
        <v>0</v>
      </c>
      <c r="G259" s="13">
        <f t="shared" ref="G259:I260" si="182">G260</f>
        <v>434480</v>
      </c>
      <c r="H259" s="13">
        <v>0</v>
      </c>
      <c r="I259" s="13">
        <f t="shared" si="182"/>
        <v>434480</v>
      </c>
      <c r="J259" s="13">
        <f t="shared" ref="J259:L260" si="183">J260</f>
        <v>417050</v>
      </c>
      <c r="K259" s="13">
        <v>0</v>
      </c>
      <c r="L259" s="13">
        <f t="shared" si="183"/>
        <v>417050</v>
      </c>
      <c r="M259" s="13">
        <f>M260</f>
        <v>429562</v>
      </c>
      <c r="N259" s="13">
        <v>0</v>
      </c>
      <c r="O259" s="13">
        <f>O260</f>
        <v>429562</v>
      </c>
    </row>
    <row r="260" spans="1:15" s="2" customFormat="1" ht="27.75" customHeight="1" x14ac:dyDescent="0.2">
      <c r="A260" s="15" t="s">
        <v>185</v>
      </c>
      <c r="B260" s="16" t="s">
        <v>10</v>
      </c>
      <c r="C260" s="16" t="s">
        <v>107</v>
      </c>
      <c r="D260" s="16" t="s">
        <v>11</v>
      </c>
      <c r="E260" s="16" t="s">
        <v>186</v>
      </c>
      <c r="F260" s="16" t="s">
        <v>0</v>
      </c>
      <c r="G260" s="17">
        <f t="shared" si="182"/>
        <v>434480</v>
      </c>
      <c r="H260" s="17">
        <v>0</v>
      </c>
      <c r="I260" s="17">
        <f t="shared" si="182"/>
        <v>434480</v>
      </c>
      <c r="J260" s="17">
        <f t="shared" si="183"/>
        <v>417050</v>
      </c>
      <c r="K260" s="17">
        <v>0</v>
      </c>
      <c r="L260" s="17">
        <f t="shared" si="183"/>
        <v>417050</v>
      </c>
      <c r="M260" s="17">
        <f>M261</f>
        <v>429562</v>
      </c>
      <c r="N260" s="17">
        <v>0</v>
      </c>
      <c r="O260" s="17">
        <f>O261</f>
        <v>429562</v>
      </c>
    </row>
    <row r="261" spans="1:15" s="2" customFormat="1" x14ac:dyDescent="0.2">
      <c r="A261" s="18" t="s">
        <v>22</v>
      </c>
      <c r="B261" s="19" t="s">
        <v>10</v>
      </c>
      <c r="C261" s="19" t="s">
        <v>107</v>
      </c>
      <c r="D261" s="19" t="s">
        <v>11</v>
      </c>
      <c r="E261" s="19" t="s">
        <v>186</v>
      </c>
      <c r="F261" s="19" t="s">
        <v>23</v>
      </c>
      <c r="G261" s="20">
        <v>434480</v>
      </c>
      <c r="H261" s="20">
        <v>0</v>
      </c>
      <c r="I261" s="20">
        <v>434480</v>
      </c>
      <c r="J261" s="20">
        <v>417050</v>
      </c>
      <c r="K261" s="20">
        <v>0</v>
      </c>
      <c r="L261" s="20">
        <v>417050</v>
      </c>
      <c r="M261" s="20">
        <v>429562</v>
      </c>
      <c r="N261" s="20">
        <v>0</v>
      </c>
      <c r="O261" s="20">
        <v>429562</v>
      </c>
    </row>
    <row r="262" spans="1:15" s="2" customFormat="1" x14ac:dyDescent="0.2">
      <c r="A262" s="11" t="s">
        <v>187</v>
      </c>
      <c r="B262" s="12" t="s">
        <v>10</v>
      </c>
      <c r="C262" s="12" t="s">
        <v>107</v>
      </c>
      <c r="D262" s="12" t="s">
        <v>28</v>
      </c>
      <c r="E262" s="12" t="s">
        <v>0</v>
      </c>
      <c r="F262" s="12" t="s">
        <v>0</v>
      </c>
      <c r="G262" s="13">
        <f t="shared" ref="G262:L262" si="184">G263</f>
        <v>9758551.7300000004</v>
      </c>
      <c r="H262" s="13">
        <f t="shared" si="184"/>
        <v>9444520.3099999987</v>
      </c>
      <c r="I262" s="13">
        <f t="shared" si="184"/>
        <v>19203072.039999999</v>
      </c>
      <c r="J262" s="13">
        <f t="shared" si="184"/>
        <v>11594869</v>
      </c>
      <c r="K262" s="13">
        <v>0</v>
      </c>
      <c r="L262" s="13">
        <f t="shared" si="184"/>
        <v>11594869</v>
      </c>
      <c r="M262" s="13">
        <f>M263</f>
        <v>3007971</v>
      </c>
      <c r="N262" s="13">
        <v>0</v>
      </c>
      <c r="O262" s="13">
        <f>O263</f>
        <v>3007971</v>
      </c>
    </row>
    <row r="263" spans="1:15" s="2" customFormat="1" ht="25.5" x14ac:dyDescent="0.2">
      <c r="A263" s="11" t="s">
        <v>94</v>
      </c>
      <c r="B263" s="12" t="s">
        <v>10</v>
      </c>
      <c r="C263" s="12" t="s">
        <v>107</v>
      </c>
      <c r="D263" s="12" t="s">
        <v>28</v>
      </c>
      <c r="E263" s="12" t="s">
        <v>95</v>
      </c>
      <c r="F263" s="12" t="s">
        <v>0</v>
      </c>
      <c r="G263" s="13">
        <f>G264+G271</f>
        <v>9758551.7300000004</v>
      </c>
      <c r="H263" s="13">
        <f>H264+H271</f>
        <v>9444520.3099999987</v>
      </c>
      <c r="I263" s="13">
        <f>I264+I271</f>
        <v>19203072.039999999</v>
      </c>
      <c r="J263" s="13">
        <f>J264+J271</f>
        <v>11594869</v>
      </c>
      <c r="K263" s="13">
        <v>0</v>
      </c>
      <c r="L263" s="13">
        <f>L264+L271</f>
        <v>11594869</v>
      </c>
      <c r="M263" s="13">
        <f>M264+M271</f>
        <v>3007971</v>
      </c>
      <c r="N263" s="13">
        <v>0</v>
      </c>
      <c r="O263" s="13">
        <f>O264+O271</f>
        <v>3007971</v>
      </c>
    </row>
    <row r="264" spans="1:15" s="2" customFormat="1" ht="25.5" x14ac:dyDescent="0.2">
      <c r="A264" s="11" t="s">
        <v>96</v>
      </c>
      <c r="B264" s="12" t="s">
        <v>10</v>
      </c>
      <c r="C264" s="12" t="s">
        <v>107</v>
      </c>
      <c r="D264" s="12" t="s">
        <v>28</v>
      </c>
      <c r="E264" s="12" t="s">
        <v>97</v>
      </c>
      <c r="F264" s="12" t="s">
        <v>0</v>
      </c>
      <c r="G264" s="13">
        <f t="shared" ref="G264:J264" si="185">G265+G268</f>
        <v>3077231.4299999997</v>
      </c>
      <c r="H264" s="13">
        <f t="shared" ref="H264" si="186">H265+H268</f>
        <v>7644520.3099999996</v>
      </c>
      <c r="I264" s="13">
        <f t="shared" si="185"/>
        <v>10721751.74</v>
      </c>
      <c r="J264" s="13">
        <f t="shared" si="185"/>
        <v>5000505</v>
      </c>
      <c r="K264" s="13">
        <v>0</v>
      </c>
      <c r="L264" s="13">
        <f t="shared" ref="L264" si="187">L265+L268</f>
        <v>5000505</v>
      </c>
      <c r="M264" s="13">
        <f>M265+M268</f>
        <v>0</v>
      </c>
      <c r="N264" s="13">
        <v>0</v>
      </c>
      <c r="O264" s="13">
        <f>O265+O268</f>
        <v>0</v>
      </c>
    </row>
    <row r="265" spans="1:15" s="2" customFormat="1" ht="24.75" hidden="1" customHeight="1" outlineLevel="1" x14ac:dyDescent="0.2">
      <c r="A265" s="15" t="s">
        <v>109</v>
      </c>
      <c r="B265" s="16" t="s">
        <v>10</v>
      </c>
      <c r="C265" s="16" t="s">
        <v>107</v>
      </c>
      <c r="D265" s="16" t="s">
        <v>28</v>
      </c>
      <c r="E265" s="16" t="s">
        <v>110</v>
      </c>
      <c r="F265" s="16" t="s">
        <v>0</v>
      </c>
      <c r="G265" s="17">
        <f t="shared" ref="G265:O265" si="188">G267+G266</f>
        <v>0</v>
      </c>
      <c r="H265" s="17">
        <f t="shared" ref="H265" si="189">H267+H266</f>
        <v>0</v>
      </c>
      <c r="I265" s="17">
        <f t="shared" si="188"/>
        <v>0</v>
      </c>
      <c r="J265" s="17">
        <f t="shared" si="188"/>
        <v>0</v>
      </c>
      <c r="K265" s="17">
        <f t="shared" si="188"/>
        <v>0</v>
      </c>
      <c r="L265" s="17">
        <f t="shared" si="188"/>
        <v>0</v>
      </c>
      <c r="M265" s="17">
        <f t="shared" si="188"/>
        <v>0</v>
      </c>
      <c r="N265" s="17">
        <f t="shared" si="188"/>
        <v>0</v>
      </c>
      <c r="O265" s="17">
        <f t="shared" si="188"/>
        <v>0</v>
      </c>
    </row>
    <row r="266" spans="1:15" s="2" customFormat="1" ht="15" hidden="1" customHeight="1" outlineLevel="1" x14ac:dyDescent="0.2">
      <c r="A266" s="18" t="s">
        <v>22</v>
      </c>
      <c r="B266" s="19" t="s">
        <v>10</v>
      </c>
      <c r="C266" s="19" t="s">
        <v>107</v>
      </c>
      <c r="D266" s="19" t="s">
        <v>28</v>
      </c>
      <c r="E266" s="19" t="s">
        <v>110</v>
      </c>
      <c r="F266" s="19">
        <v>200</v>
      </c>
      <c r="G266" s="29">
        <v>0</v>
      </c>
      <c r="H266" s="29">
        <v>0</v>
      </c>
      <c r="I266" s="29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</row>
    <row r="267" spans="1:15" s="2" customFormat="1" ht="14.25" hidden="1" customHeight="1" outlineLevel="1" x14ac:dyDescent="0.2">
      <c r="A267" s="6" t="s">
        <v>271</v>
      </c>
      <c r="B267" s="19" t="s">
        <v>10</v>
      </c>
      <c r="C267" s="19" t="s">
        <v>107</v>
      </c>
      <c r="D267" s="19" t="s">
        <v>28</v>
      </c>
      <c r="E267" s="19" t="s">
        <v>110</v>
      </c>
      <c r="F267" s="19" t="s">
        <v>39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</row>
    <row r="268" spans="1:15" s="2" customFormat="1" ht="27" collapsed="1" x14ac:dyDescent="0.2">
      <c r="A268" s="15" t="s">
        <v>109</v>
      </c>
      <c r="B268" s="16" t="s">
        <v>10</v>
      </c>
      <c r="C268" s="16" t="s">
        <v>107</v>
      </c>
      <c r="D268" s="16" t="s">
        <v>28</v>
      </c>
      <c r="E268" s="16" t="s">
        <v>236</v>
      </c>
      <c r="F268" s="16" t="s">
        <v>0</v>
      </c>
      <c r="G268" s="17">
        <f>G270+G269</f>
        <v>3077231.4299999997</v>
      </c>
      <c r="H268" s="17">
        <f>H270+H269</f>
        <v>7644520.3099999996</v>
      </c>
      <c r="I268" s="17">
        <f>I270+I269</f>
        <v>10721751.74</v>
      </c>
      <c r="J268" s="17">
        <f t="shared" ref="J268:L268" si="190">J270+J269</f>
        <v>5000505</v>
      </c>
      <c r="K268" s="17">
        <v>0</v>
      </c>
      <c r="L268" s="17">
        <f t="shared" si="190"/>
        <v>5000505</v>
      </c>
      <c r="M268" s="17">
        <f>M270+M269</f>
        <v>0</v>
      </c>
      <c r="N268" s="17">
        <v>0</v>
      </c>
      <c r="O268" s="17">
        <f>O270+O269</f>
        <v>0</v>
      </c>
    </row>
    <row r="269" spans="1:15" s="2" customFormat="1" ht="17.25" customHeight="1" x14ac:dyDescent="0.2">
      <c r="A269" s="18" t="s">
        <v>22</v>
      </c>
      <c r="B269" s="19" t="s">
        <v>10</v>
      </c>
      <c r="C269" s="19" t="s">
        <v>107</v>
      </c>
      <c r="D269" s="19" t="s">
        <v>28</v>
      </c>
      <c r="E269" s="19" t="s">
        <v>252</v>
      </c>
      <c r="F269" s="19">
        <v>200</v>
      </c>
      <c r="G269" s="29">
        <v>2042231.43</v>
      </c>
      <c r="H269" s="29">
        <v>7644520.3099999996</v>
      </c>
      <c r="I269" s="29">
        <f>2042231.43+H269</f>
        <v>9686751.7400000002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</row>
    <row r="270" spans="1:15" s="2" customFormat="1" ht="15.75" customHeight="1" x14ac:dyDescent="0.2">
      <c r="A270" s="6" t="s">
        <v>271</v>
      </c>
      <c r="B270" s="19" t="s">
        <v>10</v>
      </c>
      <c r="C270" s="19" t="s">
        <v>107</v>
      </c>
      <c r="D270" s="19" t="s">
        <v>28</v>
      </c>
      <c r="E270" s="19" t="s">
        <v>252</v>
      </c>
      <c r="F270" s="19" t="s">
        <v>39</v>
      </c>
      <c r="G270" s="20">
        <v>1035000</v>
      </c>
      <c r="H270" s="20">
        <v>0</v>
      </c>
      <c r="I270" s="20">
        <v>1035000</v>
      </c>
      <c r="J270" s="20">
        <v>5000505</v>
      </c>
      <c r="K270" s="20">
        <v>0</v>
      </c>
      <c r="L270" s="20">
        <v>5000505</v>
      </c>
      <c r="M270" s="20">
        <v>0</v>
      </c>
      <c r="N270" s="20">
        <v>0</v>
      </c>
      <c r="O270" s="20">
        <v>0</v>
      </c>
    </row>
    <row r="271" spans="1:15" s="2" customFormat="1" x14ac:dyDescent="0.2">
      <c r="A271" s="11" t="s">
        <v>188</v>
      </c>
      <c r="B271" s="12" t="s">
        <v>10</v>
      </c>
      <c r="C271" s="12" t="s">
        <v>107</v>
      </c>
      <c r="D271" s="12" t="s">
        <v>28</v>
      </c>
      <c r="E271" s="12" t="s">
        <v>189</v>
      </c>
      <c r="F271" s="12" t="s">
        <v>0</v>
      </c>
      <c r="G271" s="13">
        <f>G272</f>
        <v>6681320.2999999998</v>
      </c>
      <c r="H271" s="13">
        <f t="shared" ref="H271:O271" si="191">H272</f>
        <v>1800000</v>
      </c>
      <c r="I271" s="13">
        <f t="shared" si="191"/>
        <v>8481320.3000000007</v>
      </c>
      <c r="J271" s="13">
        <f t="shared" si="191"/>
        <v>6594364</v>
      </c>
      <c r="K271" s="13">
        <f t="shared" si="191"/>
        <v>0</v>
      </c>
      <c r="L271" s="13">
        <f t="shared" si="191"/>
        <v>6594364</v>
      </c>
      <c r="M271" s="13">
        <f t="shared" si="191"/>
        <v>3007971</v>
      </c>
      <c r="N271" s="13">
        <f t="shared" si="191"/>
        <v>0</v>
      </c>
      <c r="O271" s="13">
        <f t="shared" si="191"/>
        <v>3007971</v>
      </c>
    </row>
    <row r="272" spans="1:15" s="2" customFormat="1" ht="15" customHeight="1" x14ac:dyDescent="0.2">
      <c r="A272" s="15" t="s">
        <v>190</v>
      </c>
      <c r="B272" s="16" t="s">
        <v>10</v>
      </c>
      <c r="C272" s="16" t="s">
        <v>107</v>
      </c>
      <c r="D272" s="16" t="s">
        <v>28</v>
      </c>
      <c r="E272" s="16" t="s">
        <v>191</v>
      </c>
      <c r="F272" s="16" t="s">
        <v>0</v>
      </c>
      <c r="G272" s="17">
        <f t="shared" ref="G272:O272" si="192">G273+G274+G275</f>
        <v>6681320.2999999998</v>
      </c>
      <c r="H272" s="17">
        <f t="shared" si="192"/>
        <v>1800000</v>
      </c>
      <c r="I272" s="17">
        <f t="shared" si="192"/>
        <v>8481320.3000000007</v>
      </c>
      <c r="J272" s="17">
        <f t="shared" si="192"/>
        <v>6594364</v>
      </c>
      <c r="K272" s="17">
        <f t="shared" si="192"/>
        <v>0</v>
      </c>
      <c r="L272" s="17">
        <f t="shared" si="192"/>
        <v>6594364</v>
      </c>
      <c r="M272" s="17">
        <f t="shared" si="192"/>
        <v>3007971</v>
      </c>
      <c r="N272" s="17">
        <f t="shared" si="192"/>
        <v>0</v>
      </c>
      <c r="O272" s="17">
        <f t="shared" si="192"/>
        <v>3007971</v>
      </c>
    </row>
    <row r="273" spans="1:15" s="2" customFormat="1" x14ac:dyDescent="0.2">
      <c r="A273" s="18" t="s">
        <v>22</v>
      </c>
      <c r="B273" s="19" t="s">
        <v>10</v>
      </c>
      <c r="C273" s="19" t="s">
        <v>107</v>
      </c>
      <c r="D273" s="19" t="s">
        <v>28</v>
      </c>
      <c r="E273" s="19" t="s">
        <v>191</v>
      </c>
      <c r="F273" s="19" t="s">
        <v>23</v>
      </c>
      <c r="G273" s="20">
        <f>1936440+109880.3</f>
        <v>2046320.3</v>
      </c>
      <c r="H273" s="20">
        <v>1800000</v>
      </c>
      <c r="I273" s="20">
        <f>G273+H273</f>
        <v>3846320.3</v>
      </c>
      <c r="J273" s="20">
        <v>1859438</v>
      </c>
      <c r="K273" s="20">
        <v>0</v>
      </c>
      <c r="L273" s="20">
        <f>J273+K273</f>
        <v>1859438</v>
      </c>
      <c r="M273" s="20">
        <v>0</v>
      </c>
      <c r="N273" s="20">
        <v>0</v>
      </c>
      <c r="O273" s="20">
        <f>M273+N273</f>
        <v>0</v>
      </c>
    </row>
    <row r="274" spans="1:15" s="2" customFormat="1" ht="13.5" hidden="1" customHeight="1" outlineLevel="1" x14ac:dyDescent="0.2">
      <c r="A274" s="6" t="s">
        <v>271</v>
      </c>
      <c r="B274" s="19" t="s">
        <v>10</v>
      </c>
      <c r="C274" s="19" t="s">
        <v>107</v>
      </c>
      <c r="D274" s="19" t="s">
        <v>28</v>
      </c>
      <c r="E274" s="19" t="s">
        <v>191</v>
      </c>
      <c r="F274" s="19" t="s">
        <v>39</v>
      </c>
      <c r="G274" s="20">
        <v>0</v>
      </c>
      <c r="H274" s="20">
        <v>0</v>
      </c>
      <c r="I274" s="20">
        <f t="shared" ref="I274:I275" si="193">G274+H274</f>
        <v>0</v>
      </c>
      <c r="J274" s="20">
        <v>0</v>
      </c>
      <c r="K274" s="20">
        <v>0</v>
      </c>
      <c r="L274" s="20">
        <f t="shared" ref="L274:L275" si="194">J274+K274</f>
        <v>0</v>
      </c>
      <c r="M274" s="20">
        <v>0</v>
      </c>
      <c r="N274" s="20">
        <v>0</v>
      </c>
      <c r="O274" s="20">
        <f t="shared" ref="O274:O275" si="195">M274+N274</f>
        <v>0</v>
      </c>
    </row>
    <row r="275" spans="1:15" s="2" customFormat="1" collapsed="1" x14ac:dyDescent="0.2">
      <c r="A275" s="18" t="s">
        <v>40</v>
      </c>
      <c r="B275" s="19" t="s">
        <v>10</v>
      </c>
      <c r="C275" s="19" t="s">
        <v>107</v>
      </c>
      <c r="D275" s="19" t="s">
        <v>28</v>
      </c>
      <c r="E275" s="19" t="s">
        <v>191</v>
      </c>
      <c r="F275" s="19" t="s">
        <v>41</v>
      </c>
      <c r="G275" s="20">
        <v>4635000</v>
      </c>
      <c r="H275" s="20">
        <v>0</v>
      </c>
      <c r="I275" s="20">
        <f t="shared" si="193"/>
        <v>4635000</v>
      </c>
      <c r="J275" s="20">
        <v>4734926</v>
      </c>
      <c r="K275" s="20">
        <v>0</v>
      </c>
      <c r="L275" s="20">
        <f t="shared" si="194"/>
        <v>4734926</v>
      </c>
      <c r="M275" s="20">
        <v>3007971</v>
      </c>
      <c r="N275" s="20">
        <v>0</v>
      </c>
      <c r="O275" s="20">
        <f t="shared" si="195"/>
        <v>3007971</v>
      </c>
    </row>
    <row r="276" spans="1:15" s="2" customFormat="1" x14ac:dyDescent="0.2">
      <c r="A276" s="11" t="s">
        <v>192</v>
      </c>
      <c r="B276" s="12" t="s">
        <v>10</v>
      </c>
      <c r="C276" s="12" t="s">
        <v>107</v>
      </c>
      <c r="D276" s="12" t="s">
        <v>13</v>
      </c>
      <c r="E276" s="12" t="s">
        <v>0</v>
      </c>
      <c r="F276" s="12" t="s">
        <v>0</v>
      </c>
      <c r="G276" s="13">
        <f t="shared" ref="G276:L276" si="196">G277</f>
        <v>51587523</v>
      </c>
      <c r="H276" s="13">
        <f t="shared" si="196"/>
        <v>11121254.08</v>
      </c>
      <c r="I276" s="13">
        <f t="shared" si="196"/>
        <v>62708777.079999998</v>
      </c>
      <c r="J276" s="13">
        <f t="shared" si="196"/>
        <v>55787724</v>
      </c>
      <c r="K276" s="13">
        <v>0</v>
      </c>
      <c r="L276" s="13">
        <f t="shared" si="196"/>
        <v>55787724</v>
      </c>
      <c r="M276" s="13">
        <f>M277</f>
        <v>55549907</v>
      </c>
      <c r="N276" s="13">
        <v>0</v>
      </c>
      <c r="O276" s="13">
        <f>O277</f>
        <v>55549907</v>
      </c>
    </row>
    <row r="277" spans="1:15" s="2" customFormat="1" ht="25.5" x14ac:dyDescent="0.2">
      <c r="A277" s="11" t="s">
        <v>171</v>
      </c>
      <c r="B277" s="12" t="s">
        <v>10</v>
      </c>
      <c r="C277" s="12" t="s">
        <v>107</v>
      </c>
      <c r="D277" s="12" t="s">
        <v>13</v>
      </c>
      <c r="E277" s="12" t="s">
        <v>172</v>
      </c>
      <c r="F277" s="12" t="s">
        <v>0</v>
      </c>
      <c r="G277" s="13">
        <f t="shared" ref="G277:J277" si="197">G278+G281</f>
        <v>51587523</v>
      </c>
      <c r="H277" s="13">
        <f t="shared" si="197"/>
        <v>11121254.08</v>
      </c>
      <c r="I277" s="13">
        <f t="shared" ref="I277" si="198">I278+I281</f>
        <v>62708777.079999998</v>
      </c>
      <c r="J277" s="13">
        <f t="shared" si="197"/>
        <v>55787724</v>
      </c>
      <c r="K277" s="13">
        <v>0</v>
      </c>
      <c r="L277" s="13">
        <f t="shared" ref="L277" si="199">L278+L281</f>
        <v>55787724</v>
      </c>
      <c r="M277" s="13">
        <f>M278+M281</f>
        <v>55549907</v>
      </c>
      <c r="N277" s="13">
        <v>0</v>
      </c>
      <c r="O277" s="13">
        <f>O278+O281</f>
        <v>55549907</v>
      </c>
    </row>
    <row r="278" spans="1:15" s="2" customFormat="1" ht="25.5" hidden="1" customHeight="1" outlineLevel="1" x14ac:dyDescent="0.2">
      <c r="A278" s="11" t="s">
        <v>193</v>
      </c>
      <c r="B278" s="12" t="s">
        <v>10</v>
      </c>
      <c r="C278" s="12" t="s">
        <v>107</v>
      </c>
      <c r="D278" s="12" t="s">
        <v>13</v>
      </c>
      <c r="E278" s="12" t="s">
        <v>194</v>
      </c>
      <c r="F278" s="12" t="s">
        <v>0</v>
      </c>
      <c r="G278" s="13">
        <f t="shared" ref="G278:G279" si="200">G279</f>
        <v>0</v>
      </c>
      <c r="H278" s="13"/>
      <c r="I278" s="13"/>
      <c r="J278" s="13">
        <f t="shared" ref="J278:L279" si="201">J279</f>
        <v>0</v>
      </c>
      <c r="K278" s="13"/>
      <c r="L278" s="13">
        <f t="shared" si="201"/>
        <v>0</v>
      </c>
      <c r="M278" s="13">
        <f>M279</f>
        <v>0</v>
      </c>
      <c r="N278" s="13"/>
      <c r="O278" s="13">
        <f>O279</f>
        <v>0</v>
      </c>
    </row>
    <row r="279" spans="1:15" s="2" customFormat="1" ht="39.75" hidden="1" customHeight="1" outlineLevel="1" x14ac:dyDescent="0.2">
      <c r="A279" s="15" t="s">
        <v>195</v>
      </c>
      <c r="B279" s="16" t="s">
        <v>10</v>
      </c>
      <c r="C279" s="16" t="s">
        <v>107</v>
      </c>
      <c r="D279" s="16" t="s">
        <v>13</v>
      </c>
      <c r="E279" s="16" t="s">
        <v>196</v>
      </c>
      <c r="F279" s="16" t="s">
        <v>0</v>
      </c>
      <c r="G279" s="17">
        <f t="shared" si="200"/>
        <v>0</v>
      </c>
      <c r="H279" s="17"/>
      <c r="I279" s="17"/>
      <c r="J279" s="17">
        <f t="shared" si="201"/>
        <v>0</v>
      </c>
      <c r="K279" s="17"/>
      <c r="L279" s="17">
        <f t="shared" si="201"/>
        <v>0</v>
      </c>
      <c r="M279" s="17">
        <f>M280</f>
        <v>0</v>
      </c>
      <c r="N279" s="17"/>
      <c r="O279" s="17">
        <f>O280</f>
        <v>0</v>
      </c>
    </row>
    <row r="280" spans="1:15" s="2" customFormat="1" hidden="1" outlineLevel="1" x14ac:dyDescent="0.2">
      <c r="A280" s="18" t="s">
        <v>22</v>
      </c>
      <c r="B280" s="19" t="s">
        <v>10</v>
      </c>
      <c r="C280" s="19" t="s">
        <v>107</v>
      </c>
      <c r="D280" s="19" t="s">
        <v>13</v>
      </c>
      <c r="E280" s="19" t="s">
        <v>196</v>
      </c>
      <c r="F280" s="19" t="s">
        <v>23</v>
      </c>
      <c r="G280" s="20">
        <v>0</v>
      </c>
      <c r="H280" s="20"/>
      <c r="I280" s="20"/>
      <c r="J280" s="20">
        <v>0</v>
      </c>
      <c r="K280" s="20"/>
      <c r="L280" s="20">
        <v>0</v>
      </c>
      <c r="M280" s="20">
        <v>0</v>
      </c>
      <c r="N280" s="20"/>
      <c r="O280" s="20">
        <v>0</v>
      </c>
    </row>
    <row r="281" spans="1:15" s="2" customFormat="1" collapsed="1" x14ac:dyDescent="0.2">
      <c r="A281" s="11" t="s">
        <v>173</v>
      </c>
      <c r="B281" s="12" t="s">
        <v>10</v>
      </c>
      <c r="C281" s="12" t="s">
        <v>107</v>
      </c>
      <c r="D281" s="12" t="s">
        <v>13</v>
      </c>
      <c r="E281" s="12" t="s">
        <v>174</v>
      </c>
      <c r="F281" s="12" t="s">
        <v>0</v>
      </c>
      <c r="G281" s="13">
        <f>G282+G284+G286+G288+G290+G294+G296+G298+G300</f>
        <v>51587523</v>
      </c>
      <c r="H281" s="13">
        <f>H282+H284+H286+H288+H290+H294+H296+H298+H300</f>
        <v>11121254.08</v>
      </c>
      <c r="I281" s="13">
        <f>I282+I284+I286+I288+I290+I294+I296+I298+I300</f>
        <v>62708777.079999998</v>
      </c>
      <c r="J281" s="13">
        <f>J282+J284+J286+J288+J290+J294+J296+J298+J300</f>
        <v>55787724</v>
      </c>
      <c r="K281" s="13">
        <v>0</v>
      </c>
      <c r="L281" s="13">
        <f>L282+L284+L286+L288+L290+L294+L296+L298+L300</f>
        <v>55787724</v>
      </c>
      <c r="M281" s="13">
        <f>M282+M284+M286+M288+M290+M294+M296+M298+M300</f>
        <v>55549907</v>
      </c>
      <c r="N281" s="13">
        <v>0</v>
      </c>
      <c r="O281" s="13">
        <f>O282+O284+O286+O288+O290+O294+O296+O298+O300</f>
        <v>55549907</v>
      </c>
    </row>
    <row r="282" spans="1:15" s="2" customFormat="1" ht="13.5" x14ac:dyDescent="0.2">
      <c r="A282" s="15" t="s">
        <v>197</v>
      </c>
      <c r="B282" s="16" t="s">
        <v>10</v>
      </c>
      <c r="C282" s="16" t="s">
        <v>107</v>
      </c>
      <c r="D282" s="16" t="s">
        <v>13</v>
      </c>
      <c r="E282" s="16" t="s">
        <v>198</v>
      </c>
      <c r="F282" s="16" t="s">
        <v>0</v>
      </c>
      <c r="G282" s="28">
        <f t="shared" ref="G282:L282" si="202">G283</f>
        <v>12706702</v>
      </c>
      <c r="H282" s="28">
        <f t="shared" si="202"/>
        <v>0</v>
      </c>
      <c r="I282" s="28">
        <f t="shared" si="202"/>
        <v>12706702</v>
      </c>
      <c r="J282" s="28">
        <f t="shared" si="202"/>
        <v>18086958</v>
      </c>
      <c r="K282" s="28">
        <v>0</v>
      </c>
      <c r="L282" s="28">
        <f t="shared" si="202"/>
        <v>18086958</v>
      </c>
      <c r="M282" s="28">
        <f>M283</f>
        <v>18629567</v>
      </c>
      <c r="N282" s="28">
        <v>0</v>
      </c>
      <c r="O282" s="28">
        <f>O283</f>
        <v>18629567</v>
      </c>
    </row>
    <row r="283" spans="1:15" s="2" customFormat="1" x14ac:dyDescent="0.2">
      <c r="A283" s="18" t="s">
        <v>22</v>
      </c>
      <c r="B283" s="19" t="s">
        <v>10</v>
      </c>
      <c r="C283" s="19" t="s">
        <v>107</v>
      </c>
      <c r="D283" s="19" t="s">
        <v>13</v>
      </c>
      <c r="E283" s="19" t="s">
        <v>198</v>
      </c>
      <c r="F283" s="19" t="s">
        <v>23</v>
      </c>
      <c r="G283" s="20">
        <f>4700000+8006702</f>
        <v>12706702</v>
      </c>
      <c r="H283" s="20">
        <v>0</v>
      </c>
      <c r="I283" s="20">
        <f>4700000+8006702</f>
        <v>12706702</v>
      </c>
      <c r="J283" s="20">
        <f>6080256+12006702</f>
        <v>18086958</v>
      </c>
      <c r="K283" s="20">
        <v>0</v>
      </c>
      <c r="L283" s="20">
        <f>6080256+12006702</f>
        <v>18086958</v>
      </c>
      <c r="M283" s="20">
        <f>6262664+12366903</f>
        <v>18629567</v>
      </c>
      <c r="N283" s="20">
        <v>0</v>
      </c>
      <c r="O283" s="20">
        <f>6262664+12366903</f>
        <v>18629567</v>
      </c>
    </row>
    <row r="284" spans="1:15" s="2" customFormat="1" ht="13.5" x14ac:dyDescent="0.2">
      <c r="A284" s="15" t="s">
        <v>199</v>
      </c>
      <c r="B284" s="16" t="s">
        <v>10</v>
      </c>
      <c r="C284" s="16" t="s">
        <v>107</v>
      </c>
      <c r="D284" s="16" t="s">
        <v>13</v>
      </c>
      <c r="E284" s="16" t="s">
        <v>200</v>
      </c>
      <c r="F284" s="16" t="s">
        <v>0</v>
      </c>
      <c r="G284" s="17">
        <f t="shared" ref="G284:L284" si="203">G285</f>
        <v>260000</v>
      </c>
      <c r="H284" s="17">
        <v>0</v>
      </c>
      <c r="I284" s="17">
        <f t="shared" si="203"/>
        <v>260000</v>
      </c>
      <c r="J284" s="17">
        <f t="shared" si="203"/>
        <v>0</v>
      </c>
      <c r="K284" s="17">
        <v>0</v>
      </c>
      <c r="L284" s="17">
        <f t="shared" si="203"/>
        <v>0</v>
      </c>
      <c r="M284" s="17">
        <f>M285</f>
        <v>0</v>
      </c>
      <c r="N284" s="17">
        <v>0</v>
      </c>
      <c r="O284" s="17">
        <f>O285</f>
        <v>0</v>
      </c>
    </row>
    <row r="285" spans="1:15" s="2" customFormat="1" x14ac:dyDescent="0.2">
      <c r="A285" s="18" t="s">
        <v>22</v>
      </c>
      <c r="B285" s="19" t="s">
        <v>10</v>
      </c>
      <c r="C285" s="19" t="s">
        <v>107</v>
      </c>
      <c r="D285" s="19" t="s">
        <v>13</v>
      </c>
      <c r="E285" s="19" t="s">
        <v>200</v>
      </c>
      <c r="F285" s="19" t="s">
        <v>23</v>
      </c>
      <c r="G285" s="20">
        <v>260000</v>
      </c>
      <c r="H285" s="20">
        <v>0</v>
      </c>
      <c r="I285" s="20">
        <v>260000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</row>
    <row r="286" spans="1:15" s="2" customFormat="1" ht="15" customHeight="1" x14ac:dyDescent="0.2">
      <c r="A286" s="15" t="s">
        <v>201</v>
      </c>
      <c r="B286" s="16" t="s">
        <v>10</v>
      </c>
      <c r="C286" s="16" t="s">
        <v>107</v>
      </c>
      <c r="D286" s="16" t="s">
        <v>13</v>
      </c>
      <c r="E286" s="16" t="s">
        <v>202</v>
      </c>
      <c r="F286" s="16" t="s">
        <v>0</v>
      </c>
      <c r="G286" s="17">
        <f t="shared" ref="G286:L286" si="204">G287</f>
        <v>5652276</v>
      </c>
      <c r="H286" s="17">
        <f t="shared" si="204"/>
        <v>0</v>
      </c>
      <c r="I286" s="17">
        <f t="shared" si="204"/>
        <v>5652276</v>
      </c>
      <c r="J286" s="17">
        <f t="shared" si="204"/>
        <v>5652276</v>
      </c>
      <c r="K286" s="17">
        <v>0</v>
      </c>
      <c r="L286" s="17">
        <f t="shared" si="204"/>
        <v>5652276</v>
      </c>
      <c r="M286" s="17">
        <f>M287</f>
        <v>5821844</v>
      </c>
      <c r="N286" s="17">
        <v>0</v>
      </c>
      <c r="O286" s="17">
        <f>O287</f>
        <v>5821844</v>
      </c>
    </row>
    <row r="287" spans="1:15" s="2" customFormat="1" ht="25.5" x14ac:dyDescent="0.2">
      <c r="A287" s="54" t="s">
        <v>249</v>
      </c>
      <c r="B287" s="19" t="s">
        <v>10</v>
      </c>
      <c r="C287" s="19" t="s">
        <v>107</v>
      </c>
      <c r="D287" s="19" t="s">
        <v>13</v>
      </c>
      <c r="E287" s="19" t="s">
        <v>202</v>
      </c>
      <c r="F287" s="19" t="s">
        <v>128</v>
      </c>
      <c r="G287" s="20">
        <v>5652276</v>
      </c>
      <c r="H287" s="20">
        <v>0</v>
      </c>
      <c r="I287" s="20">
        <v>5652276</v>
      </c>
      <c r="J287" s="20">
        <v>5652276</v>
      </c>
      <c r="K287" s="20">
        <v>0</v>
      </c>
      <c r="L287" s="20">
        <v>5652276</v>
      </c>
      <c r="M287" s="20">
        <v>5821844</v>
      </c>
      <c r="N287" s="20">
        <v>0</v>
      </c>
      <c r="O287" s="20">
        <v>5821844</v>
      </c>
    </row>
    <row r="288" spans="1:15" s="2" customFormat="1" ht="13.5" x14ac:dyDescent="0.2">
      <c r="A288" s="15" t="s">
        <v>203</v>
      </c>
      <c r="B288" s="16" t="s">
        <v>10</v>
      </c>
      <c r="C288" s="16" t="s">
        <v>107</v>
      </c>
      <c r="D288" s="16" t="s">
        <v>13</v>
      </c>
      <c r="E288" s="16" t="s">
        <v>204</v>
      </c>
      <c r="F288" s="16" t="s">
        <v>0</v>
      </c>
      <c r="G288" s="17">
        <f t="shared" ref="G288:L288" si="205">G289</f>
        <v>15441953</v>
      </c>
      <c r="H288" s="17">
        <f t="shared" si="205"/>
        <v>0</v>
      </c>
      <c r="I288" s="17">
        <f t="shared" si="205"/>
        <v>15441953</v>
      </c>
      <c r="J288" s="17">
        <f t="shared" si="205"/>
        <v>19013261</v>
      </c>
      <c r="K288" s="17">
        <v>0</v>
      </c>
      <c r="L288" s="17">
        <f t="shared" si="205"/>
        <v>19013261</v>
      </c>
      <c r="M288" s="17">
        <f>M289</f>
        <v>18459477</v>
      </c>
      <c r="N288" s="17">
        <v>0</v>
      </c>
      <c r="O288" s="17">
        <f>O289</f>
        <v>18459477</v>
      </c>
    </row>
    <row r="289" spans="1:15" s="2" customFormat="1" x14ac:dyDescent="0.2">
      <c r="A289" s="18" t="s">
        <v>22</v>
      </c>
      <c r="B289" s="19" t="s">
        <v>10</v>
      </c>
      <c r="C289" s="19" t="s">
        <v>107</v>
      </c>
      <c r="D289" s="19" t="s">
        <v>13</v>
      </c>
      <c r="E289" s="19" t="s">
        <v>204</v>
      </c>
      <c r="F289" s="19" t="s">
        <v>23</v>
      </c>
      <c r="G289" s="20">
        <v>15441953</v>
      </c>
      <c r="H289" s="20">
        <v>0</v>
      </c>
      <c r="I289" s="20">
        <v>15441953</v>
      </c>
      <c r="J289" s="20">
        <v>19013261</v>
      </c>
      <c r="K289" s="20">
        <v>0</v>
      </c>
      <c r="L289" s="20">
        <v>19013261</v>
      </c>
      <c r="M289" s="20">
        <v>18459477</v>
      </c>
      <c r="N289" s="20">
        <v>0</v>
      </c>
      <c r="O289" s="20">
        <v>18459477</v>
      </c>
    </row>
    <row r="290" spans="1:15" s="2" customFormat="1" ht="13.5" x14ac:dyDescent="0.2">
      <c r="A290" s="15" t="s">
        <v>205</v>
      </c>
      <c r="B290" s="16" t="s">
        <v>10</v>
      </c>
      <c r="C290" s="16" t="s">
        <v>107</v>
      </c>
      <c r="D290" s="16" t="s">
        <v>13</v>
      </c>
      <c r="E290" s="16" t="s">
        <v>206</v>
      </c>
      <c r="F290" s="16" t="s">
        <v>0</v>
      </c>
      <c r="G290" s="17">
        <f>G291+G292+G293</f>
        <v>8402542</v>
      </c>
      <c r="H290" s="17">
        <f>H291+H292+H293</f>
        <v>10521254.08</v>
      </c>
      <c r="I290" s="17">
        <f>I291+I292+I293</f>
        <v>18923796.079999998</v>
      </c>
      <c r="J290" s="17">
        <f t="shared" ref="J290:O290" si="206">J291+J292+J293</f>
        <v>10595833</v>
      </c>
      <c r="K290" s="17">
        <f t="shared" si="206"/>
        <v>0</v>
      </c>
      <c r="L290" s="17">
        <f t="shared" si="206"/>
        <v>10595833</v>
      </c>
      <c r="M290" s="17">
        <f t="shared" si="206"/>
        <v>10913707</v>
      </c>
      <c r="N290" s="17">
        <f t="shared" si="206"/>
        <v>0</v>
      </c>
      <c r="O290" s="17">
        <f t="shared" si="206"/>
        <v>10913707</v>
      </c>
    </row>
    <row r="291" spans="1:15" s="2" customFormat="1" ht="12.75" customHeight="1" x14ac:dyDescent="0.2">
      <c r="A291" s="18" t="s">
        <v>22</v>
      </c>
      <c r="B291" s="19" t="s">
        <v>10</v>
      </c>
      <c r="C291" s="19" t="s">
        <v>107</v>
      </c>
      <c r="D291" s="19" t="s">
        <v>13</v>
      </c>
      <c r="E291" s="19" t="s">
        <v>206</v>
      </c>
      <c r="F291" s="19" t="s">
        <v>23</v>
      </c>
      <c r="G291" s="20">
        <f>4462711+3939831</f>
        <v>8402542</v>
      </c>
      <c r="H291" s="20">
        <f>524800+121454.2+215254.63+354458+85000+4199641.88+3064745.37</f>
        <v>8565354.0800000001</v>
      </c>
      <c r="I291" s="20">
        <f>G291+H291</f>
        <v>16967896.079999998</v>
      </c>
      <c r="J291" s="20">
        <f>7344711+3251122</f>
        <v>10595833</v>
      </c>
      <c r="K291" s="20">
        <v>0</v>
      </c>
      <c r="L291" s="20">
        <f>J291+K291</f>
        <v>10595833</v>
      </c>
      <c r="M291" s="20">
        <f>7565052+3348655</f>
        <v>10913707</v>
      </c>
      <c r="N291" s="20">
        <v>0</v>
      </c>
      <c r="O291" s="20">
        <f>M291+N291</f>
        <v>10913707</v>
      </c>
    </row>
    <row r="292" spans="1:15" s="2" customFormat="1" ht="12" hidden="1" customHeight="1" outlineLevel="1" x14ac:dyDescent="0.2">
      <c r="A292" s="18" t="s">
        <v>72</v>
      </c>
      <c r="B292" s="19" t="s">
        <v>10</v>
      </c>
      <c r="C292" s="19" t="s">
        <v>107</v>
      </c>
      <c r="D292" s="19" t="s">
        <v>13</v>
      </c>
      <c r="E292" s="19" t="s">
        <v>206</v>
      </c>
      <c r="F292" s="19" t="s">
        <v>73</v>
      </c>
      <c r="G292" s="20">
        <v>0</v>
      </c>
      <c r="H292" s="20">
        <v>0</v>
      </c>
      <c r="I292" s="20">
        <f t="shared" ref="I292:I293" si="207">G292+H292</f>
        <v>0</v>
      </c>
      <c r="J292" s="20">
        <v>0</v>
      </c>
      <c r="K292" s="20">
        <v>0</v>
      </c>
      <c r="L292" s="20">
        <f t="shared" ref="L292:L293" si="208">J292+K292</f>
        <v>0</v>
      </c>
      <c r="M292" s="20">
        <v>0</v>
      </c>
      <c r="N292" s="20">
        <v>0</v>
      </c>
      <c r="O292" s="20">
        <f t="shared" ref="O292:O293" si="209">M292+N292</f>
        <v>0</v>
      </c>
    </row>
    <row r="293" spans="1:15" s="2" customFormat="1" ht="13.5" customHeight="1" collapsed="1" x14ac:dyDescent="0.2">
      <c r="A293" s="6" t="s">
        <v>271</v>
      </c>
      <c r="B293" s="19" t="s">
        <v>10</v>
      </c>
      <c r="C293" s="19" t="s">
        <v>107</v>
      </c>
      <c r="D293" s="19" t="s">
        <v>13</v>
      </c>
      <c r="E293" s="19" t="s">
        <v>206</v>
      </c>
      <c r="F293" s="19" t="s">
        <v>39</v>
      </c>
      <c r="G293" s="20">
        <v>0</v>
      </c>
      <c r="H293" s="20">
        <v>1955900</v>
      </c>
      <c r="I293" s="20">
        <f t="shared" si="207"/>
        <v>1955900</v>
      </c>
      <c r="J293" s="20">
        <v>0</v>
      </c>
      <c r="K293" s="20">
        <v>0</v>
      </c>
      <c r="L293" s="20">
        <f t="shared" si="208"/>
        <v>0</v>
      </c>
      <c r="M293" s="20">
        <v>0</v>
      </c>
      <c r="N293" s="20">
        <v>0</v>
      </c>
      <c r="O293" s="20">
        <f t="shared" si="209"/>
        <v>0</v>
      </c>
    </row>
    <row r="294" spans="1:15" s="2" customFormat="1" ht="38.25" customHeight="1" x14ac:dyDescent="0.2">
      <c r="A294" s="15" t="s">
        <v>230</v>
      </c>
      <c r="B294" s="16" t="s">
        <v>10</v>
      </c>
      <c r="C294" s="16" t="s">
        <v>107</v>
      </c>
      <c r="D294" s="16" t="s">
        <v>13</v>
      </c>
      <c r="E294" s="16" t="s">
        <v>207</v>
      </c>
      <c r="F294" s="16" t="s">
        <v>0</v>
      </c>
      <c r="G294" s="17">
        <f>G295</f>
        <v>900000</v>
      </c>
      <c r="H294" s="17">
        <f>H295</f>
        <v>600000</v>
      </c>
      <c r="I294" s="17">
        <f>I295</f>
        <v>1500000</v>
      </c>
      <c r="J294" s="17">
        <f t="shared" ref="J294:O294" si="210">J295</f>
        <v>1000000</v>
      </c>
      <c r="K294" s="17">
        <f t="shared" si="210"/>
        <v>0</v>
      </c>
      <c r="L294" s="17">
        <f t="shared" si="210"/>
        <v>1000000</v>
      </c>
      <c r="M294" s="17">
        <f t="shared" si="210"/>
        <v>1000000</v>
      </c>
      <c r="N294" s="17">
        <f t="shared" si="210"/>
        <v>0</v>
      </c>
      <c r="O294" s="17">
        <f t="shared" si="210"/>
        <v>1000000</v>
      </c>
    </row>
    <row r="295" spans="1:15" s="2" customFormat="1" x14ac:dyDescent="0.2">
      <c r="A295" s="18" t="s">
        <v>22</v>
      </c>
      <c r="B295" s="19" t="s">
        <v>10</v>
      </c>
      <c r="C295" s="19" t="s">
        <v>107</v>
      </c>
      <c r="D295" s="19" t="s">
        <v>13</v>
      </c>
      <c r="E295" s="19" t="s">
        <v>207</v>
      </c>
      <c r="F295" s="19" t="s">
        <v>23</v>
      </c>
      <c r="G295" s="20">
        <v>900000</v>
      </c>
      <c r="H295" s="20">
        <v>600000</v>
      </c>
      <c r="I295" s="20">
        <f>G295+H295</f>
        <v>1500000</v>
      </c>
      <c r="J295" s="20">
        <v>1000000</v>
      </c>
      <c r="K295" s="20">
        <v>0</v>
      </c>
      <c r="L295" s="20">
        <f>J295+K295</f>
        <v>1000000</v>
      </c>
      <c r="M295" s="20">
        <v>1000000</v>
      </c>
      <c r="N295" s="20">
        <v>0</v>
      </c>
      <c r="O295" s="20">
        <f>M295+N295</f>
        <v>1000000</v>
      </c>
    </row>
    <row r="296" spans="1:15" s="2" customFormat="1" ht="40.5" hidden="1" outlineLevel="1" x14ac:dyDescent="0.2">
      <c r="A296" s="15" t="s">
        <v>246</v>
      </c>
      <c r="B296" s="16" t="s">
        <v>10</v>
      </c>
      <c r="C296" s="16" t="s">
        <v>107</v>
      </c>
      <c r="D296" s="16" t="s">
        <v>13</v>
      </c>
      <c r="E296" s="16" t="s">
        <v>245</v>
      </c>
      <c r="F296" s="16" t="s">
        <v>0</v>
      </c>
      <c r="G296" s="17">
        <f t="shared" ref="G296" si="211">G297</f>
        <v>0</v>
      </c>
      <c r="H296" s="17"/>
      <c r="I296" s="17"/>
      <c r="J296" s="17">
        <f t="shared" ref="J296:L300" si="212">J297</f>
        <v>0</v>
      </c>
      <c r="K296" s="17"/>
      <c r="L296" s="17">
        <f t="shared" si="212"/>
        <v>0</v>
      </c>
      <c r="M296" s="17">
        <f>M297</f>
        <v>0</v>
      </c>
      <c r="N296" s="17"/>
      <c r="O296" s="17">
        <f>O297</f>
        <v>0</v>
      </c>
    </row>
    <row r="297" spans="1:15" s="2" customFormat="1" hidden="1" outlineLevel="1" x14ac:dyDescent="0.2">
      <c r="A297" s="18" t="s">
        <v>22</v>
      </c>
      <c r="B297" s="19" t="s">
        <v>10</v>
      </c>
      <c r="C297" s="19" t="s">
        <v>107</v>
      </c>
      <c r="D297" s="19" t="s">
        <v>13</v>
      </c>
      <c r="E297" s="19" t="s">
        <v>245</v>
      </c>
      <c r="F297" s="19" t="s">
        <v>23</v>
      </c>
      <c r="G297" s="20">
        <v>0</v>
      </c>
      <c r="H297" s="20"/>
      <c r="I297" s="20"/>
      <c r="J297" s="20">
        <v>0</v>
      </c>
      <c r="K297" s="20"/>
      <c r="L297" s="20">
        <v>0</v>
      </c>
      <c r="M297" s="20">
        <v>0</v>
      </c>
      <c r="N297" s="20"/>
      <c r="O297" s="20">
        <v>0</v>
      </c>
    </row>
    <row r="298" spans="1:15" s="2" customFormat="1" ht="13.5" collapsed="1" x14ac:dyDescent="0.2">
      <c r="A298" s="15" t="s">
        <v>238</v>
      </c>
      <c r="B298" s="16" t="s">
        <v>10</v>
      </c>
      <c r="C298" s="16" t="s">
        <v>107</v>
      </c>
      <c r="D298" s="16" t="s">
        <v>13</v>
      </c>
      <c r="E298" s="16" t="s">
        <v>237</v>
      </c>
      <c r="F298" s="16" t="s">
        <v>0</v>
      </c>
      <c r="G298" s="17">
        <f t="shared" ref="G298:I298" si="213">G299</f>
        <v>5625000</v>
      </c>
      <c r="H298" s="17">
        <v>0</v>
      </c>
      <c r="I298" s="17">
        <f t="shared" si="213"/>
        <v>5625000</v>
      </c>
      <c r="J298" s="17">
        <f t="shared" si="212"/>
        <v>1439396</v>
      </c>
      <c r="K298" s="17">
        <v>0</v>
      </c>
      <c r="L298" s="17">
        <f t="shared" si="212"/>
        <v>1439396</v>
      </c>
      <c r="M298" s="17">
        <f>M299</f>
        <v>725312</v>
      </c>
      <c r="N298" s="17">
        <v>0</v>
      </c>
      <c r="O298" s="17">
        <f>O299</f>
        <v>725312</v>
      </c>
    </row>
    <row r="299" spans="1:15" s="2" customFormat="1" x14ac:dyDescent="0.2">
      <c r="A299" s="18" t="s">
        <v>22</v>
      </c>
      <c r="B299" s="19" t="s">
        <v>10</v>
      </c>
      <c r="C299" s="19" t="s">
        <v>107</v>
      </c>
      <c r="D299" s="19" t="s">
        <v>13</v>
      </c>
      <c r="E299" s="19" t="s">
        <v>237</v>
      </c>
      <c r="F299" s="19" t="s">
        <v>23</v>
      </c>
      <c r="G299" s="20">
        <f>5444563+180437</f>
        <v>5625000</v>
      </c>
      <c r="H299" s="20">
        <v>0</v>
      </c>
      <c r="I299" s="20">
        <f>G299+H299</f>
        <v>5625000</v>
      </c>
      <c r="J299" s="20">
        <v>1439396</v>
      </c>
      <c r="K299" s="20">
        <v>0</v>
      </c>
      <c r="L299" s="20">
        <v>1439396</v>
      </c>
      <c r="M299" s="20">
        <v>725312</v>
      </c>
      <c r="N299" s="20">
        <v>0</v>
      </c>
      <c r="O299" s="20">
        <v>725312</v>
      </c>
    </row>
    <row r="300" spans="1:15" s="2" customFormat="1" ht="15" customHeight="1" x14ac:dyDescent="0.2">
      <c r="A300" s="15" t="s">
        <v>242</v>
      </c>
      <c r="B300" s="16" t="s">
        <v>10</v>
      </c>
      <c r="C300" s="16" t="s">
        <v>107</v>
      </c>
      <c r="D300" s="16" t="s">
        <v>13</v>
      </c>
      <c r="E300" s="16" t="s">
        <v>241</v>
      </c>
      <c r="F300" s="16" t="s">
        <v>0</v>
      </c>
      <c r="G300" s="17">
        <f t="shared" ref="G300:I300" si="214">G301</f>
        <v>2599050</v>
      </c>
      <c r="H300" s="17">
        <v>0</v>
      </c>
      <c r="I300" s="17">
        <f t="shared" si="214"/>
        <v>2599050</v>
      </c>
      <c r="J300" s="17">
        <f t="shared" si="212"/>
        <v>0</v>
      </c>
      <c r="K300" s="17">
        <v>0</v>
      </c>
      <c r="L300" s="17">
        <f t="shared" si="212"/>
        <v>0</v>
      </c>
      <c r="M300" s="17">
        <f>M301</f>
        <v>0</v>
      </c>
      <c r="N300" s="17">
        <v>0</v>
      </c>
      <c r="O300" s="17">
        <f>O301</f>
        <v>0</v>
      </c>
    </row>
    <row r="301" spans="1:15" s="2" customFormat="1" x14ac:dyDescent="0.2">
      <c r="A301" s="18" t="s">
        <v>22</v>
      </c>
      <c r="B301" s="19" t="s">
        <v>10</v>
      </c>
      <c r="C301" s="19" t="s">
        <v>107</v>
      </c>
      <c r="D301" s="19" t="s">
        <v>13</v>
      </c>
      <c r="E301" s="19" t="s">
        <v>241</v>
      </c>
      <c r="F301" s="19" t="s">
        <v>23</v>
      </c>
      <c r="G301" s="20">
        <f>1599050+1000000</f>
        <v>2599050</v>
      </c>
      <c r="H301" s="20">
        <v>0</v>
      </c>
      <c r="I301" s="20">
        <f>1599050+1000000</f>
        <v>2599050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</row>
    <row r="302" spans="1:15" s="2" customFormat="1" x14ac:dyDescent="0.2">
      <c r="A302" s="11" t="s">
        <v>208</v>
      </c>
      <c r="B302" s="12" t="s">
        <v>10</v>
      </c>
      <c r="C302" s="12" t="s">
        <v>107</v>
      </c>
      <c r="D302" s="12" t="s">
        <v>107</v>
      </c>
      <c r="E302" s="12" t="s">
        <v>0</v>
      </c>
      <c r="F302" s="12" t="s">
        <v>0</v>
      </c>
      <c r="G302" s="13">
        <f t="shared" ref="G302:I304" si="215">G303</f>
        <v>53256661</v>
      </c>
      <c r="H302" s="13">
        <v>0</v>
      </c>
      <c r="I302" s="13">
        <f t="shared" si="215"/>
        <v>53256661</v>
      </c>
      <c r="J302" s="13">
        <f t="shared" ref="J302:L304" si="216">J303</f>
        <v>55190455</v>
      </c>
      <c r="K302" s="13">
        <v>0</v>
      </c>
      <c r="L302" s="13">
        <f t="shared" si="216"/>
        <v>55190455</v>
      </c>
      <c r="M302" s="13">
        <f>M303</f>
        <v>56846169</v>
      </c>
      <c r="N302" s="13">
        <v>0</v>
      </c>
      <c r="O302" s="13">
        <f>O303</f>
        <v>56846169</v>
      </c>
    </row>
    <row r="303" spans="1:15" s="2" customFormat="1" x14ac:dyDescent="0.2">
      <c r="A303" s="11" t="s">
        <v>165</v>
      </c>
      <c r="B303" s="12" t="s">
        <v>10</v>
      </c>
      <c r="C303" s="12" t="s">
        <v>107</v>
      </c>
      <c r="D303" s="12" t="s">
        <v>107</v>
      </c>
      <c r="E303" s="12" t="s">
        <v>166</v>
      </c>
      <c r="F303" s="12" t="s">
        <v>0</v>
      </c>
      <c r="G303" s="13">
        <f t="shared" si="215"/>
        <v>53256661</v>
      </c>
      <c r="H303" s="13">
        <v>0</v>
      </c>
      <c r="I303" s="13">
        <f t="shared" si="215"/>
        <v>53256661</v>
      </c>
      <c r="J303" s="13">
        <f t="shared" si="216"/>
        <v>55190455</v>
      </c>
      <c r="K303" s="13">
        <v>0</v>
      </c>
      <c r="L303" s="13">
        <f t="shared" si="216"/>
        <v>55190455</v>
      </c>
      <c r="M303" s="13">
        <f>M304</f>
        <v>56846169</v>
      </c>
      <c r="N303" s="13">
        <v>0</v>
      </c>
      <c r="O303" s="13">
        <f>O304</f>
        <v>56846169</v>
      </c>
    </row>
    <row r="304" spans="1:15" s="2" customFormat="1" x14ac:dyDescent="0.2">
      <c r="A304" s="11" t="s">
        <v>209</v>
      </c>
      <c r="B304" s="12" t="s">
        <v>10</v>
      </c>
      <c r="C304" s="12" t="s">
        <v>107</v>
      </c>
      <c r="D304" s="12" t="s">
        <v>107</v>
      </c>
      <c r="E304" s="12" t="s">
        <v>210</v>
      </c>
      <c r="F304" s="12" t="s">
        <v>0</v>
      </c>
      <c r="G304" s="13">
        <f t="shared" si="215"/>
        <v>53256661</v>
      </c>
      <c r="H304" s="13">
        <v>0</v>
      </c>
      <c r="I304" s="13">
        <f t="shared" si="215"/>
        <v>53256661</v>
      </c>
      <c r="J304" s="13">
        <f t="shared" si="216"/>
        <v>55190455</v>
      </c>
      <c r="K304" s="13">
        <v>0</v>
      </c>
      <c r="L304" s="13">
        <f t="shared" si="216"/>
        <v>55190455</v>
      </c>
      <c r="M304" s="13">
        <f>M305</f>
        <v>56846169</v>
      </c>
      <c r="N304" s="13">
        <v>0</v>
      </c>
      <c r="O304" s="13">
        <f>O305</f>
        <v>56846169</v>
      </c>
    </row>
    <row r="305" spans="1:15" s="2" customFormat="1" ht="27" x14ac:dyDescent="0.2">
      <c r="A305" s="15" t="s">
        <v>124</v>
      </c>
      <c r="B305" s="16" t="s">
        <v>10</v>
      </c>
      <c r="C305" s="16" t="s">
        <v>107</v>
      </c>
      <c r="D305" s="16" t="s">
        <v>107</v>
      </c>
      <c r="E305" s="16" t="s">
        <v>211</v>
      </c>
      <c r="F305" s="16" t="s">
        <v>0</v>
      </c>
      <c r="G305" s="17">
        <f t="shared" ref="G305:J305" si="217">G306+G308+G307+G309</f>
        <v>53256661</v>
      </c>
      <c r="H305" s="17">
        <v>0</v>
      </c>
      <c r="I305" s="17">
        <f t="shared" ref="I305" si="218">I306+I308+I307+I309</f>
        <v>53256661</v>
      </c>
      <c r="J305" s="17">
        <f t="shared" si="217"/>
        <v>55190455</v>
      </c>
      <c r="K305" s="17">
        <v>0</v>
      </c>
      <c r="L305" s="17">
        <f t="shared" ref="L305" si="219">L306+L308+L307+L309</f>
        <v>55190455</v>
      </c>
      <c r="M305" s="17">
        <f>M306+M308+M307+M309</f>
        <v>56846169</v>
      </c>
      <c r="N305" s="17">
        <v>0</v>
      </c>
      <c r="O305" s="17">
        <f>O306+O308+O307+O309</f>
        <v>56846169</v>
      </c>
    </row>
    <row r="306" spans="1:15" s="2" customFormat="1" x14ac:dyDescent="0.2">
      <c r="A306" s="18" t="s">
        <v>20</v>
      </c>
      <c r="B306" s="19" t="s">
        <v>10</v>
      </c>
      <c r="C306" s="19" t="s">
        <v>107</v>
      </c>
      <c r="D306" s="19" t="s">
        <v>107</v>
      </c>
      <c r="E306" s="19" t="s">
        <v>211</v>
      </c>
      <c r="F306" s="19" t="s">
        <v>21</v>
      </c>
      <c r="G306" s="20">
        <v>48160945</v>
      </c>
      <c r="H306" s="20">
        <v>0</v>
      </c>
      <c r="I306" s="20">
        <v>48160945</v>
      </c>
      <c r="J306" s="20">
        <v>49894739</v>
      </c>
      <c r="K306" s="20">
        <v>0</v>
      </c>
      <c r="L306" s="20">
        <v>49894739</v>
      </c>
      <c r="M306" s="20">
        <v>51391581</v>
      </c>
      <c r="N306" s="20">
        <v>0</v>
      </c>
      <c r="O306" s="20">
        <v>51391581</v>
      </c>
    </row>
    <row r="307" spans="1:15" s="2" customFormat="1" x14ac:dyDescent="0.2">
      <c r="A307" s="18" t="s">
        <v>22</v>
      </c>
      <c r="B307" s="19" t="s">
        <v>10</v>
      </c>
      <c r="C307" s="19" t="s">
        <v>107</v>
      </c>
      <c r="D307" s="19" t="s">
        <v>107</v>
      </c>
      <c r="E307" s="19" t="s">
        <v>211</v>
      </c>
      <c r="F307" s="19" t="s">
        <v>23</v>
      </c>
      <c r="G307" s="20">
        <v>4563283</v>
      </c>
      <c r="H307" s="20">
        <v>0</v>
      </c>
      <c r="I307" s="20">
        <v>4563283</v>
      </c>
      <c r="J307" s="20">
        <v>4463153</v>
      </c>
      <c r="K307" s="20">
        <v>0</v>
      </c>
      <c r="L307" s="20">
        <v>4463153</v>
      </c>
      <c r="M307" s="20">
        <v>4597048</v>
      </c>
      <c r="N307" s="20">
        <v>0</v>
      </c>
      <c r="O307" s="20">
        <v>4597048</v>
      </c>
    </row>
    <row r="308" spans="1:15" s="2" customFormat="1" hidden="1" outlineLevel="1" x14ac:dyDescent="0.2">
      <c r="A308" s="18" t="s">
        <v>72</v>
      </c>
      <c r="B308" s="19" t="s">
        <v>10</v>
      </c>
      <c r="C308" s="19" t="s">
        <v>107</v>
      </c>
      <c r="D308" s="19" t="s">
        <v>107</v>
      </c>
      <c r="E308" s="19" t="s">
        <v>211</v>
      </c>
      <c r="F308" s="19" t="s">
        <v>73</v>
      </c>
      <c r="G308" s="20">
        <v>0</v>
      </c>
      <c r="H308" s="20"/>
      <c r="I308" s="20">
        <v>0</v>
      </c>
      <c r="J308" s="20">
        <v>0</v>
      </c>
      <c r="K308" s="20"/>
      <c r="L308" s="20">
        <v>0</v>
      </c>
      <c r="M308" s="20">
        <v>0</v>
      </c>
      <c r="N308" s="20"/>
      <c r="O308" s="20">
        <v>0</v>
      </c>
    </row>
    <row r="309" spans="1:15" s="2" customFormat="1" collapsed="1" x14ac:dyDescent="0.2">
      <c r="A309" s="18" t="s">
        <v>40</v>
      </c>
      <c r="B309" s="19" t="s">
        <v>10</v>
      </c>
      <c r="C309" s="19" t="s">
        <v>107</v>
      </c>
      <c r="D309" s="19" t="s">
        <v>107</v>
      </c>
      <c r="E309" s="19" t="s">
        <v>211</v>
      </c>
      <c r="F309" s="19" t="s">
        <v>41</v>
      </c>
      <c r="G309" s="20">
        <v>532433</v>
      </c>
      <c r="H309" s="20">
        <v>0</v>
      </c>
      <c r="I309" s="20">
        <v>532433</v>
      </c>
      <c r="J309" s="20">
        <v>832563</v>
      </c>
      <c r="K309" s="20">
        <v>0</v>
      </c>
      <c r="L309" s="20">
        <v>832563</v>
      </c>
      <c r="M309" s="20">
        <v>857540</v>
      </c>
      <c r="N309" s="20">
        <v>0</v>
      </c>
      <c r="O309" s="20">
        <v>857540</v>
      </c>
    </row>
    <row r="310" spans="1:15" s="2" customFormat="1" ht="15" x14ac:dyDescent="0.2">
      <c r="G310" s="62"/>
      <c r="H310" s="14"/>
      <c r="I310" s="14"/>
    </row>
  </sheetData>
  <mergeCells count="3">
    <mergeCell ref="A1:O1"/>
    <mergeCell ref="A2:O2"/>
    <mergeCell ref="A3:O3"/>
  </mergeCells>
  <pageMargins left="0.78740157480314965" right="0" top="0.39370078740157483" bottom="0.39370078740157483" header="0.31496062992125984" footer="0.31496062992125984"/>
  <pageSetup paperSize="9" scale="4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Ведомств.</vt:lpstr>
      <vt:lpstr>Ведомств.!Область_печати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</dc:creator>
  <cp:lastModifiedBy>Илья Сергеевич Уткин</cp:lastModifiedBy>
  <cp:lastPrinted>2021-03-01T03:00:25Z</cp:lastPrinted>
  <dcterms:created xsi:type="dcterms:W3CDTF">2006-09-16T00:00:00Z</dcterms:created>
  <dcterms:modified xsi:type="dcterms:W3CDTF">2021-03-10T02:14:08Z</dcterms:modified>
</cp:coreProperties>
</file>