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о разделам" sheetId="2" r:id="rId1"/>
  </sheets>
  <definedNames>
    <definedName name="_xlnm._FilterDatabase" localSheetId="0" hidden="1">'По разделам'!$E$1:$E$276</definedName>
    <definedName name="_xlnm.Print_Area" localSheetId="0">'По разделам'!$A$1:$I$208</definedName>
  </definedNames>
  <calcPr calcId="145621"/>
</workbook>
</file>

<file path=xl/calcChain.xml><?xml version="1.0" encoding="utf-8"?>
<calcChain xmlns="http://schemas.openxmlformats.org/spreadsheetml/2006/main">
  <c r="G149" i="2" l="1"/>
  <c r="G141" i="2"/>
  <c r="G101" i="2" l="1"/>
  <c r="H141" i="2"/>
  <c r="G142" i="2"/>
  <c r="G140" i="2"/>
  <c r="N88" i="2"/>
  <c r="N87" i="2"/>
  <c r="K88" i="2"/>
  <c r="K87" i="2"/>
  <c r="N84" i="2"/>
  <c r="K84" i="2"/>
  <c r="H88" i="2"/>
  <c r="H87" i="2"/>
  <c r="H84" i="2"/>
  <c r="G95" i="2" l="1"/>
  <c r="I95" i="2"/>
  <c r="J95" i="2"/>
  <c r="L95" i="2"/>
  <c r="M95" i="2"/>
  <c r="J91" i="2"/>
  <c r="M91" i="2"/>
  <c r="H86" i="2"/>
  <c r="H85" i="2" s="1"/>
  <c r="I86" i="2"/>
  <c r="I85" i="2" s="1"/>
  <c r="J86" i="2"/>
  <c r="J85" i="2" s="1"/>
  <c r="K86" i="2"/>
  <c r="K85" i="2" s="1"/>
  <c r="L86" i="2"/>
  <c r="L85" i="2" s="1"/>
  <c r="M86" i="2"/>
  <c r="M85" i="2" s="1"/>
  <c r="N86" i="2"/>
  <c r="N85" i="2" s="1"/>
  <c r="I82" i="2"/>
  <c r="I81" i="2" s="1"/>
  <c r="L82" i="2"/>
  <c r="L81" i="2" s="1"/>
  <c r="I198" i="2"/>
  <c r="J198" i="2"/>
  <c r="L198" i="2"/>
  <c r="M198" i="2"/>
  <c r="N200" i="2"/>
  <c r="K200" i="2"/>
  <c r="H200" i="2"/>
  <c r="N191" i="2"/>
  <c r="N192" i="2"/>
  <c r="K191" i="2"/>
  <c r="K192" i="2"/>
  <c r="J189" i="2"/>
  <c r="H191" i="2"/>
  <c r="H192" i="2"/>
  <c r="N149" i="2"/>
  <c r="N150" i="2"/>
  <c r="K149" i="2"/>
  <c r="K150" i="2"/>
  <c r="H150" i="2"/>
  <c r="N112" i="2"/>
  <c r="M110" i="2"/>
  <c r="L110" i="2"/>
  <c r="I110" i="2"/>
  <c r="K112" i="2"/>
  <c r="K111" i="2"/>
  <c r="K110" i="2" l="1"/>
  <c r="L80" i="2"/>
  <c r="I80" i="2"/>
  <c r="G86" i="2"/>
  <c r="M78" i="2"/>
  <c r="M77" i="2" s="1"/>
  <c r="M76" i="2" s="1"/>
  <c r="J78" i="2"/>
  <c r="J77" i="2" s="1"/>
  <c r="J76" i="2" s="1"/>
  <c r="G190" i="2" l="1"/>
  <c r="G148" i="2"/>
  <c r="G147" i="2" s="1"/>
  <c r="G198" i="2" l="1"/>
  <c r="G189" i="2"/>
  <c r="F149" i="2"/>
  <c r="H149" i="2" s="1"/>
  <c r="G110" i="2" l="1"/>
  <c r="F110" i="2"/>
  <c r="H112" i="2"/>
  <c r="G92" i="2"/>
  <c r="G91" i="2" s="1"/>
  <c r="G85" i="2"/>
  <c r="F86" i="2"/>
  <c r="F85" i="2" s="1"/>
  <c r="M83" i="2"/>
  <c r="J83" i="2"/>
  <c r="G83" i="2"/>
  <c r="F82" i="2"/>
  <c r="F81" i="2" s="1"/>
  <c r="F80" i="2" s="1"/>
  <c r="G82" i="2" l="1"/>
  <c r="G81" i="2" s="1"/>
  <c r="G80" i="2" s="1"/>
  <c r="H83" i="2"/>
  <c r="H82" i="2" s="1"/>
  <c r="H81" i="2" s="1"/>
  <c r="H80" i="2" s="1"/>
  <c r="J82" i="2"/>
  <c r="J81" i="2" s="1"/>
  <c r="J80" i="2" s="1"/>
  <c r="K83" i="2"/>
  <c r="K82" i="2" s="1"/>
  <c r="K81" i="2" s="1"/>
  <c r="K80" i="2" s="1"/>
  <c r="M82" i="2"/>
  <c r="M81" i="2" s="1"/>
  <c r="M80" i="2" s="1"/>
  <c r="N83" i="2"/>
  <c r="N82" i="2" s="1"/>
  <c r="N81" i="2" s="1"/>
  <c r="N80" i="2" s="1"/>
  <c r="G29" i="2"/>
  <c r="G28" i="2" s="1"/>
  <c r="G27" i="2" s="1"/>
  <c r="L11" i="2"/>
  <c r="L10" i="2" s="1"/>
  <c r="L9" i="2" s="1"/>
  <c r="L8" i="2" s="1"/>
  <c r="L7" i="2" s="1"/>
  <c r="L16" i="2"/>
  <c r="L17" i="2"/>
  <c r="L18" i="2"/>
  <c r="L25" i="2"/>
  <c r="L24" i="2" s="1"/>
  <c r="L23" i="2" s="1"/>
  <c r="L22" i="2" s="1"/>
  <c r="L30" i="2"/>
  <c r="L29" i="2" s="1"/>
  <c r="L28" i="2" s="1"/>
  <c r="L27" i="2" s="1"/>
  <c r="L38" i="2"/>
  <c r="L39" i="2"/>
  <c r="L44" i="2"/>
  <c r="L46" i="2"/>
  <c r="L51" i="2"/>
  <c r="L53" i="2"/>
  <c r="L55" i="2"/>
  <c r="L58" i="2"/>
  <c r="L57" i="2" s="1"/>
  <c r="L61" i="2"/>
  <c r="L60" i="2" s="1"/>
  <c r="L66" i="2"/>
  <c r="L65" i="2" s="1"/>
  <c r="L68" i="2"/>
  <c r="L69" i="2"/>
  <c r="L73" i="2"/>
  <c r="L72" i="2" s="1"/>
  <c r="L71" i="2" s="1"/>
  <c r="L79" i="2"/>
  <c r="L78" i="2" s="1"/>
  <c r="L77" i="2" s="1"/>
  <c r="L76" i="2" s="1"/>
  <c r="L92" i="2"/>
  <c r="L91" i="2" s="1"/>
  <c r="L99" i="2"/>
  <c r="L105" i="2"/>
  <c r="L104" i="2" s="1"/>
  <c r="L103" i="2" s="1"/>
  <c r="L102" i="2" s="1"/>
  <c r="L109" i="2"/>
  <c r="L108" i="2" s="1"/>
  <c r="L107" i="2" s="1"/>
  <c r="L116" i="2"/>
  <c r="L115" i="2" s="1"/>
  <c r="L114" i="2" s="1"/>
  <c r="L121" i="2"/>
  <c r="L120" i="2" s="1"/>
  <c r="L123" i="2"/>
  <c r="L128" i="2"/>
  <c r="L127" i="2" s="1"/>
  <c r="L126" i="2" s="1"/>
  <c r="L132" i="2"/>
  <c r="L135" i="2"/>
  <c r="L140" i="2"/>
  <c r="L142" i="2"/>
  <c r="L145" i="2"/>
  <c r="L147" i="2"/>
  <c r="L151" i="2"/>
  <c r="L155" i="2"/>
  <c r="L154" i="2" s="1"/>
  <c r="L159" i="2"/>
  <c r="L158" i="2" s="1"/>
  <c r="L164" i="2"/>
  <c r="L167" i="2"/>
  <c r="L171" i="2"/>
  <c r="L170" i="2" s="1"/>
  <c r="L178" i="2"/>
  <c r="L177" i="2" s="1"/>
  <c r="L182" i="2"/>
  <c r="L181" i="2" s="1"/>
  <c r="L183" i="2"/>
  <c r="L185" i="2"/>
  <c r="L187" i="2"/>
  <c r="L190" i="2"/>
  <c r="L189" i="2" s="1"/>
  <c r="L193" i="2"/>
  <c r="L195" i="2"/>
  <c r="L204" i="2"/>
  <c r="L203" i="2" s="1"/>
  <c r="L202" i="2" s="1"/>
  <c r="L201" i="2" s="1"/>
  <c r="L212" i="2"/>
  <c r="L211" i="2" s="1"/>
  <c r="L210" i="2" s="1"/>
  <c r="L209" i="2" s="1"/>
  <c r="L217" i="2"/>
  <c r="L216" i="2" s="1"/>
  <c r="L215" i="2" s="1"/>
  <c r="L214" i="2" s="1"/>
  <c r="L223" i="2"/>
  <c r="L222" i="2" s="1"/>
  <c r="L221" i="2" s="1"/>
  <c r="L220" i="2" s="1"/>
  <c r="L228" i="2"/>
  <c r="L231" i="2"/>
  <c r="L234" i="2"/>
  <c r="L236" i="2"/>
  <c r="L240" i="2"/>
  <c r="L242" i="2"/>
  <c r="L245" i="2"/>
  <c r="L249" i="2"/>
  <c r="L248" i="2" s="1"/>
  <c r="L253" i="2"/>
  <c r="L251" i="2" s="1"/>
  <c r="L257" i="2"/>
  <c r="L256" i="2" s="1"/>
  <c r="L255" i="2" s="1"/>
  <c r="L254" i="2" s="1"/>
  <c r="L264" i="2"/>
  <c r="L263" i="2" s="1"/>
  <c r="L262" i="2" s="1"/>
  <c r="L261" i="2" s="1"/>
  <c r="L260" i="2" s="1"/>
  <c r="L259" i="2" s="1"/>
  <c r="L270" i="2"/>
  <c r="L269" i="2" s="1"/>
  <c r="L268" i="2" s="1"/>
  <c r="L267" i="2" s="1"/>
  <c r="L90" i="2" l="1"/>
  <c r="L89" i="2" s="1"/>
  <c r="L75" i="2" s="1"/>
  <c r="L74" i="2" s="1"/>
  <c r="L266" i="2"/>
  <c r="L265" i="2" s="1"/>
  <c r="L144" i="2"/>
  <c r="L139" i="2" s="1"/>
  <c r="L138" i="2" s="1"/>
  <c r="L227" i="2"/>
  <c r="L226" i="2" s="1"/>
  <c r="L225" i="2" s="1"/>
  <c r="L119" i="2"/>
  <c r="L118" i="2" s="1"/>
  <c r="L50" i="2"/>
  <c r="L49" i="2" s="1"/>
  <c r="L37" i="2"/>
  <c r="L36" i="2" s="1"/>
  <c r="L35" i="2" s="1"/>
  <c r="L34" i="2" s="1"/>
  <c r="L131" i="2"/>
  <c r="L130" i="2" s="1"/>
  <c r="L125" i="2" s="1"/>
  <c r="L21" i="2"/>
  <c r="L163" i="2"/>
  <c r="L162" i="2" s="1"/>
  <c r="L161" i="2" s="1"/>
  <c r="L67" i="2"/>
  <c r="L64" i="2" s="1"/>
  <c r="L63" i="2" s="1"/>
  <c r="L43" i="2"/>
  <c r="L42" i="2" s="1"/>
  <c r="L41" i="2" s="1"/>
  <c r="L15" i="2"/>
  <c r="L14" i="2" s="1"/>
  <c r="L13" i="2" s="1"/>
  <c r="L12" i="2" s="1"/>
  <c r="L244" i="2"/>
  <c r="L239" i="2" s="1"/>
  <c r="L238" i="2" s="1"/>
  <c r="L180" i="2"/>
  <c r="L176" i="2" s="1"/>
  <c r="L175" i="2" s="1"/>
  <c r="L273" i="2" l="1"/>
  <c r="L113" i="2"/>
  <c r="L101" i="2" s="1"/>
  <c r="L272" i="2"/>
  <c r="L219" i="2"/>
  <c r="L137" i="2"/>
  <c r="L48" i="2"/>
  <c r="L6" i="2" s="1"/>
  <c r="L274" i="2" l="1"/>
  <c r="L5" i="2"/>
  <c r="L275" i="2" l="1"/>
  <c r="M269" i="2"/>
  <c r="M268" i="2" s="1"/>
  <c r="M267" i="2" s="1"/>
  <c r="M263" i="2"/>
  <c r="M262" i="2" s="1"/>
  <c r="M261" i="2" s="1"/>
  <c r="M260" i="2" s="1"/>
  <c r="M259" i="2" s="1"/>
  <c r="N258" i="2"/>
  <c r="N257" i="2" s="1"/>
  <c r="N256" i="2" s="1"/>
  <c r="N255" i="2" s="1"/>
  <c r="N254" i="2" s="1"/>
  <c r="M257" i="2"/>
  <c r="M256" i="2" s="1"/>
  <c r="M255" i="2" s="1"/>
  <c r="M254" i="2" s="1"/>
  <c r="N252" i="2"/>
  <c r="M251" i="2"/>
  <c r="N250" i="2"/>
  <c r="M248" i="2"/>
  <c r="N246" i="2"/>
  <c r="N245" i="2" s="1"/>
  <c r="M245" i="2"/>
  <c r="N243" i="2"/>
  <c r="N242" i="2" s="1"/>
  <c r="M242" i="2"/>
  <c r="N241" i="2"/>
  <c r="N240" i="2" s="1"/>
  <c r="M240" i="2"/>
  <c r="N237" i="2"/>
  <c r="N236" i="2" s="1"/>
  <c r="M236" i="2"/>
  <c r="N234" i="2"/>
  <c r="M234" i="2"/>
  <c r="N233" i="2"/>
  <c r="N232" i="2"/>
  <c r="M231" i="2"/>
  <c r="N230" i="2"/>
  <c r="N229" i="2"/>
  <c r="M228" i="2"/>
  <c r="N224" i="2"/>
  <c r="N223" i="2" s="1"/>
  <c r="N222" i="2" s="1"/>
  <c r="N221" i="2" s="1"/>
  <c r="N220" i="2" s="1"/>
  <c r="M223" i="2"/>
  <c r="M222" i="2" s="1"/>
  <c r="M221" i="2" s="1"/>
  <c r="M220" i="2" s="1"/>
  <c r="N218" i="2"/>
  <c r="N217" i="2" s="1"/>
  <c r="N216" i="2" s="1"/>
  <c r="N215" i="2" s="1"/>
  <c r="N214" i="2" s="1"/>
  <c r="M217" i="2"/>
  <c r="M216" i="2" s="1"/>
  <c r="M215" i="2" s="1"/>
  <c r="M214" i="2" s="1"/>
  <c r="N213" i="2"/>
  <c r="N212" i="2" s="1"/>
  <c r="N211" i="2" s="1"/>
  <c r="N210" i="2" s="1"/>
  <c r="N209" i="2" s="1"/>
  <c r="M212" i="2"/>
  <c r="M211" i="2" s="1"/>
  <c r="M210" i="2" s="1"/>
  <c r="M209" i="2" s="1"/>
  <c r="N208" i="2"/>
  <c r="N207" i="2"/>
  <c r="N206" i="2"/>
  <c r="N205" i="2"/>
  <c r="M204" i="2"/>
  <c r="M203" i="2" s="1"/>
  <c r="M202" i="2" s="1"/>
  <c r="M201" i="2" s="1"/>
  <c r="N199" i="2"/>
  <c r="N198" i="2" s="1"/>
  <c r="N197" i="2"/>
  <c r="N196" i="2"/>
  <c r="M195" i="2"/>
  <c r="N194" i="2"/>
  <c r="N193" i="2" s="1"/>
  <c r="M193" i="2"/>
  <c r="M189" i="2"/>
  <c r="N188" i="2"/>
  <c r="N187" i="2" s="1"/>
  <c r="M187" i="2"/>
  <c r="N186" i="2"/>
  <c r="N185" i="2" s="1"/>
  <c r="M185" i="2"/>
  <c r="N184" i="2"/>
  <c r="N183" i="2" s="1"/>
  <c r="M183" i="2"/>
  <c r="M181" i="2"/>
  <c r="N178" i="2"/>
  <c r="N177" i="2" s="1"/>
  <c r="M178" i="2"/>
  <c r="M177" i="2" s="1"/>
  <c r="N174" i="2"/>
  <c r="N173" i="2"/>
  <c r="N172" i="2"/>
  <c r="M171" i="2"/>
  <c r="M170" i="2" s="1"/>
  <c r="N169" i="2"/>
  <c r="N168" i="2"/>
  <c r="M167" i="2"/>
  <c r="N164" i="2"/>
  <c r="M164" i="2"/>
  <c r="N160" i="2"/>
  <c r="N159" i="2" s="1"/>
  <c r="N158" i="2" s="1"/>
  <c r="M159" i="2"/>
  <c r="M158" i="2" s="1"/>
  <c r="N157" i="2"/>
  <c r="N156" i="2"/>
  <c r="M155" i="2"/>
  <c r="M154" i="2" s="1"/>
  <c r="N151" i="2"/>
  <c r="M151" i="2"/>
  <c r="N148" i="2"/>
  <c r="M147" i="2"/>
  <c r="N146" i="2"/>
  <c r="N145" i="2" s="1"/>
  <c r="M145" i="2"/>
  <c r="N142" i="2"/>
  <c r="M142" i="2"/>
  <c r="N140" i="2"/>
  <c r="M140" i="2"/>
  <c r="N136" i="2"/>
  <c r="N135" i="2" s="1"/>
  <c r="M135" i="2"/>
  <c r="N134" i="2"/>
  <c r="N133" i="2"/>
  <c r="M132" i="2"/>
  <c r="N129" i="2"/>
  <c r="N128" i="2" s="1"/>
  <c r="N127" i="2" s="1"/>
  <c r="N126" i="2" s="1"/>
  <c r="M128" i="2"/>
  <c r="M127" i="2" s="1"/>
  <c r="M126" i="2" s="1"/>
  <c r="N123" i="2"/>
  <c r="M123" i="2"/>
  <c r="M120" i="2"/>
  <c r="N117" i="2"/>
  <c r="N116" i="2" s="1"/>
  <c r="N115" i="2" s="1"/>
  <c r="N114" i="2" s="1"/>
  <c r="M116" i="2"/>
  <c r="M115" i="2" s="1"/>
  <c r="M114" i="2" s="1"/>
  <c r="N111" i="2"/>
  <c r="M109" i="2"/>
  <c r="M108" i="2" s="1"/>
  <c r="M107" i="2" s="1"/>
  <c r="N106" i="2"/>
  <c r="N105" i="2" s="1"/>
  <c r="N104" i="2" s="1"/>
  <c r="N103" i="2" s="1"/>
  <c r="N102" i="2" s="1"/>
  <c r="M105" i="2"/>
  <c r="M104" i="2" s="1"/>
  <c r="M103" i="2" s="1"/>
  <c r="M102" i="2" s="1"/>
  <c r="N100" i="2"/>
  <c r="N99" i="2" s="1"/>
  <c r="M99" i="2"/>
  <c r="M90" i="2" s="1"/>
  <c r="M89" i="2" s="1"/>
  <c r="M75" i="2" s="1"/>
  <c r="M74" i="2" s="1"/>
  <c r="N98" i="2"/>
  <c r="N97" i="2"/>
  <c r="N93" i="2"/>
  <c r="M72" i="2"/>
  <c r="M71" i="2" s="1"/>
  <c r="N70" i="2"/>
  <c r="M67" i="2"/>
  <c r="M65" i="2"/>
  <c r="N62" i="2"/>
  <c r="N61" i="2" s="1"/>
  <c r="N60" i="2" s="1"/>
  <c r="M61" i="2"/>
  <c r="M60" i="2" s="1"/>
  <c r="M57" i="2"/>
  <c r="N56" i="2"/>
  <c r="N55" i="2" s="1"/>
  <c r="M55" i="2"/>
  <c r="N54" i="2"/>
  <c r="N53" i="2" s="1"/>
  <c r="M53" i="2"/>
  <c r="N52" i="2"/>
  <c r="N51" i="2" s="1"/>
  <c r="M51" i="2"/>
  <c r="N47" i="2"/>
  <c r="N46" i="2" s="1"/>
  <c r="M46" i="2"/>
  <c r="N45" i="2"/>
  <c r="N44" i="2" s="1"/>
  <c r="M44" i="2"/>
  <c r="N40" i="2"/>
  <c r="M37" i="2"/>
  <c r="M36" i="2" s="1"/>
  <c r="M35" i="2" s="1"/>
  <c r="M34" i="2" s="1"/>
  <c r="N33" i="2"/>
  <c r="N32" i="2"/>
  <c r="N31" i="2"/>
  <c r="M29" i="2"/>
  <c r="M28" i="2" s="1"/>
  <c r="M27" i="2" s="1"/>
  <c r="N26" i="2"/>
  <c r="M24" i="2"/>
  <c r="M23" i="2" s="1"/>
  <c r="M22" i="2" s="1"/>
  <c r="N20" i="2"/>
  <c r="N19" i="2"/>
  <c r="M18" i="2"/>
  <c r="M15" i="2"/>
  <c r="M10" i="2"/>
  <c r="M9" i="2" s="1"/>
  <c r="M8" i="2" s="1"/>
  <c r="M7" i="2" s="1"/>
  <c r="J269" i="2"/>
  <c r="J268" i="2" s="1"/>
  <c r="J267" i="2" s="1"/>
  <c r="J263" i="2"/>
  <c r="J262" i="2" s="1"/>
  <c r="J261" i="2" s="1"/>
  <c r="J260" i="2" s="1"/>
  <c r="J259" i="2" s="1"/>
  <c r="K258" i="2"/>
  <c r="K257" i="2" s="1"/>
  <c r="K256" i="2" s="1"/>
  <c r="K255" i="2" s="1"/>
  <c r="K254" i="2" s="1"/>
  <c r="J257" i="2"/>
  <c r="J256" i="2" s="1"/>
  <c r="J255" i="2" s="1"/>
  <c r="J254" i="2" s="1"/>
  <c r="K252" i="2"/>
  <c r="J251" i="2"/>
  <c r="K250" i="2"/>
  <c r="J248" i="2"/>
  <c r="K246" i="2"/>
  <c r="K245" i="2" s="1"/>
  <c r="J245" i="2"/>
  <c r="K243" i="2"/>
  <c r="K242" i="2" s="1"/>
  <c r="J242" i="2"/>
  <c r="K241" i="2"/>
  <c r="K240" i="2" s="1"/>
  <c r="J240" i="2"/>
  <c r="K237" i="2"/>
  <c r="K236" i="2" s="1"/>
  <c r="J236" i="2"/>
  <c r="K234" i="2"/>
  <c r="J234" i="2"/>
  <c r="K233" i="2"/>
  <c r="K232" i="2"/>
  <c r="J231" i="2"/>
  <c r="K230" i="2"/>
  <c r="K229" i="2"/>
  <c r="J228" i="2"/>
  <c r="K224" i="2"/>
  <c r="K223" i="2" s="1"/>
  <c r="K222" i="2" s="1"/>
  <c r="K221" i="2" s="1"/>
  <c r="K220" i="2" s="1"/>
  <c r="J223" i="2"/>
  <c r="J222" i="2" s="1"/>
  <c r="J221" i="2" s="1"/>
  <c r="J220" i="2" s="1"/>
  <c r="K218" i="2"/>
  <c r="K217" i="2" s="1"/>
  <c r="K216" i="2" s="1"/>
  <c r="K215" i="2" s="1"/>
  <c r="K214" i="2" s="1"/>
  <c r="J217" i="2"/>
  <c r="J216" i="2" s="1"/>
  <c r="J215" i="2" s="1"/>
  <c r="J214" i="2" s="1"/>
  <c r="K213" i="2"/>
  <c r="K212" i="2" s="1"/>
  <c r="K211" i="2" s="1"/>
  <c r="K210" i="2" s="1"/>
  <c r="K209" i="2" s="1"/>
  <c r="J212" i="2"/>
  <c r="J211" i="2" s="1"/>
  <c r="J210" i="2" s="1"/>
  <c r="J209" i="2" s="1"/>
  <c r="K208" i="2"/>
  <c r="K207" i="2"/>
  <c r="K206" i="2"/>
  <c r="K205" i="2"/>
  <c r="J204" i="2"/>
  <c r="J203" i="2" s="1"/>
  <c r="J202" i="2" s="1"/>
  <c r="J201" i="2" s="1"/>
  <c r="K199" i="2"/>
  <c r="K198" i="2" s="1"/>
  <c r="K197" i="2"/>
  <c r="K196" i="2"/>
  <c r="J195" i="2"/>
  <c r="K194" i="2"/>
  <c r="K193" i="2" s="1"/>
  <c r="J193" i="2"/>
  <c r="K188" i="2"/>
  <c r="K187" i="2" s="1"/>
  <c r="J187" i="2"/>
  <c r="K186" i="2"/>
  <c r="K185" i="2" s="1"/>
  <c r="J185" i="2"/>
  <c r="K184" i="2"/>
  <c r="K183" i="2" s="1"/>
  <c r="J183" i="2"/>
  <c r="J181" i="2"/>
  <c r="K178" i="2"/>
  <c r="K177" i="2" s="1"/>
  <c r="J178" i="2"/>
  <c r="J177" i="2" s="1"/>
  <c r="K174" i="2"/>
  <c r="K173" i="2"/>
  <c r="K172" i="2"/>
  <c r="J171" i="2"/>
  <c r="J170" i="2" s="1"/>
  <c r="K169" i="2"/>
  <c r="K168" i="2"/>
  <c r="J167" i="2"/>
  <c r="K164" i="2"/>
  <c r="J164" i="2"/>
  <c r="K160" i="2"/>
  <c r="K159" i="2" s="1"/>
  <c r="K158" i="2" s="1"/>
  <c r="J159" i="2"/>
  <c r="J158" i="2" s="1"/>
  <c r="K157" i="2"/>
  <c r="K156" i="2"/>
  <c r="J155" i="2"/>
  <c r="J154" i="2" s="1"/>
  <c r="K151" i="2"/>
  <c r="J151" i="2"/>
  <c r="K148" i="2"/>
  <c r="J147" i="2"/>
  <c r="K146" i="2"/>
  <c r="K145" i="2" s="1"/>
  <c r="J145" i="2"/>
  <c r="K142" i="2"/>
  <c r="J142" i="2"/>
  <c r="K140" i="2"/>
  <c r="J140" i="2"/>
  <c r="K136" i="2"/>
  <c r="K135" i="2" s="1"/>
  <c r="J135" i="2"/>
  <c r="K134" i="2"/>
  <c r="K133" i="2"/>
  <c r="J132" i="2"/>
  <c r="K129" i="2"/>
  <c r="K128" i="2" s="1"/>
  <c r="K127" i="2" s="1"/>
  <c r="K126" i="2" s="1"/>
  <c r="J128" i="2"/>
  <c r="J127" i="2" s="1"/>
  <c r="J126" i="2" s="1"/>
  <c r="K123" i="2"/>
  <c r="J123" i="2"/>
  <c r="J120" i="2"/>
  <c r="K117" i="2"/>
  <c r="K116" i="2" s="1"/>
  <c r="K115" i="2" s="1"/>
  <c r="K114" i="2" s="1"/>
  <c r="J116" i="2"/>
  <c r="J115" i="2" s="1"/>
  <c r="J114" i="2" s="1"/>
  <c r="K109" i="2"/>
  <c r="K108" i="2" s="1"/>
  <c r="K107" i="2" s="1"/>
  <c r="J110" i="2"/>
  <c r="J109" i="2" s="1"/>
  <c r="J108" i="2" s="1"/>
  <c r="J107" i="2" s="1"/>
  <c r="K106" i="2"/>
  <c r="K105" i="2" s="1"/>
  <c r="K104" i="2" s="1"/>
  <c r="K103" i="2" s="1"/>
  <c r="K102" i="2" s="1"/>
  <c r="J105" i="2"/>
  <c r="J104" i="2" s="1"/>
  <c r="J103" i="2" s="1"/>
  <c r="J102" i="2" s="1"/>
  <c r="K100" i="2"/>
  <c r="K99" i="2" s="1"/>
  <c r="J99" i="2"/>
  <c r="J90" i="2" s="1"/>
  <c r="J89" i="2" s="1"/>
  <c r="J75" i="2" s="1"/>
  <c r="J74" i="2" s="1"/>
  <c r="K98" i="2"/>
  <c r="K97" i="2"/>
  <c r="K93" i="2"/>
  <c r="K73" i="2"/>
  <c r="K72" i="2" s="1"/>
  <c r="K71" i="2" s="1"/>
  <c r="J72" i="2"/>
  <c r="J71" i="2" s="1"/>
  <c r="K70" i="2"/>
  <c r="J67" i="2"/>
  <c r="J65" i="2"/>
  <c r="K62" i="2"/>
  <c r="K61" i="2" s="1"/>
  <c r="K60" i="2" s="1"/>
  <c r="J61" i="2"/>
  <c r="J60" i="2" s="1"/>
  <c r="J57" i="2"/>
  <c r="K56" i="2"/>
  <c r="K55" i="2" s="1"/>
  <c r="J55" i="2"/>
  <c r="K54" i="2"/>
  <c r="K53" i="2" s="1"/>
  <c r="J53" i="2"/>
  <c r="K52" i="2"/>
  <c r="K51" i="2" s="1"/>
  <c r="J51" i="2"/>
  <c r="K47" i="2"/>
  <c r="K46" i="2" s="1"/>
  <c r="J46" i="2"/>
  <c r="K45" i="2"/>
  <c r="K44" i="2" s="1"/>
  <c r="J44" i="2"/>
  <c r="K40" i="2"/>
  <c r="J37" i="2"/>
  <c r="J36" i="2" s="1"/>
  <c r="J35" i="2" s="1"/>
  <c r="J34" i="2" s="1"/>
  <c r="K33" i="2"/>
  <c r="K32" i="2"/>
  <c r="K31" i="2"/>
  <c r="J29" i="2"/>
  <c r="J28" i="2" s="1"/>
  <c r="J27" i="2" s="1"/>
  <c r="K26" i="2"/>
  <c r="J24" i="2"/>
  <c r="J23" i="2" s="1"/>
  <c r="J22" i="2" s="1"/>
  <c r="K20" i="2"/>
  <c r="K19" i="2"/>
  <c r="J18" i="2"/>
  <c r="J15" i="2"/>
  <c r="J10" i="2"/>
  <c r="J9" i="2" s="1"/>
  <c r="J8" i="2" s="1"/>
  <c r="J7" i="2" s="1"/>
  <c r="H258" i="2"/>
  <c r="H257" i="2" s="1"/>
  <c r="H256" i="2" s="1"/>
  <c r="H255" i="2" s="1"/>
  <c r="H254" i="2" s="1"/>
  <c r="H252" i="2"/>
  <c r="H250" i="2"/>
  <c r="H246" i="2"/>
  <c r="H245" i="2" s="1"/>
  <c r="H243" i="2"/>
  <c r="H242" i="2" s="1"/>
  <c r="H241" i="2"/>
  <c r="H240" i="2" s="1"/>
  <c r="H237" i="2"/>
  <c r="H236" i="2" s="1"/>
  <c r="H233" i="2"/>
  <c r="H232" i="2"/>
  <c r="H230" i="2"/>
  <c r="H229" i="2"/>
  <c r="H224" i="2"/>
  <c r="H223" i="2" s="1"/>
  <c r="H222" i="2" s="1"/>
  <c r="H221" i="2" s="1"/>
  <c r="H220" i="2" s="1"/>
  <c r="H218" i="2"/>
  <c r="H217" i="2" s="1"/>
  <c r="H216" i="2" s="1"/>
  <c r="H215" i="2" s="1"/>
  <c r="H214" i="2" s="1"/>
  <c r="H213" i="2"/>
  <c r="H212" i="2" s="1"/>
  <c r="H211" i="2" s="1"/>
  <c r="H210" i="2" s="1"/>
  <c r="H209" i="2" s="1"/>
  <c r="H208" i="2"/>
  <c r="H207" i="2"/>
  <c r="H206" i="2"/>
  <c r="H205" i="2"/>
  <c r="H197" i="2"/>
  <c r="H194" i="2"/>
  <c r="H193" i="2" s="1"/>
  <c r="H188" i="2"/>
  <c r="H187" i="2" s="1"/>
  <c r="H186" i="2"/>
  <c r="H184" i="2"/>
  <c r="H183" i="2" s="1"/>
  <c r="H174" i="2"/>
  <c r="H173" i="2"/>
  <c r="H169" i="2"/>
  <c r="H168" i="2"/>
  <c r="H160" i="2"/>
  <c r="H159" i="2" s="1"/>
  <c r="H158" i="2" s="1"/>
  <c r="H156" i="2"/>
  <c r="H146" i="2"/>
  <c r="H145" i="2" s="1"/>
  <c r="H136" i="2"/>
  <c r="H135" i="2" s="1"/>
  <c r="H133" i="2"/>
  <c r="H129" i="2"/>
  <c r="H128" i="2" s="1"/>
  <c r="H127" i="2" s="1"/>
  <c r="H126" i="2" s="1"/>
  <c r="H111" i="2"/>
  <c r="H106" i="2"/>
  <c r="H105" i="2" s="1"/>
  <c r="H104" i="2" s="1"/>
  <c r="H103" i="2" s="1"/>
  <c r="H102" i="2" s="1"/>
  <c r="H100" i="2"/>
  <c r="H99" i="2" s="1"/>
  <c r="H98" i="2"/>
  <c r="H97" i="2"/>
  <c r="H93" i="2"/>
  <c r="H73" i="2"/>
  <c r="H72" i="2" s="1"/>
  <c r="H71" i="2" s="1"/>
  <c r="H70" i="2"/>
  <c r="H56" i="2"/>
  <c r="H55" i="2" s="1"/>
  <c r="H52" i="2"/>
  <c r="H51" i="2" s="1"/>
  <c r="H47" i="2"/>
  <c r="H46" i="2" s="1"/>
  <c r="H45" i="2"/>
  <c r="H44" i="2" s="1"/>
  <c r="H40" i="2"/>
  <c r="H33" i="2"/>
  <c r="H32" i="2"/>
  <c r="H31" i="2"/>
  <c r="H26" i="2"/>
  <c r="H20" i="2"/>
  <c r="H19" i="2"/>
  <c r="H234" i="2"/>
  <c r="H185" i="2"/>
  <c r="H178" i="2"/>
  <c r="H177" i="2" s="1"/>
  <c r="H164" i="2"/>
  <c r="H151" i="2"/>
  <c r="H142" i="2"/>
  <c r="H140" i="2"/>
  <c r="H123" i="2"/>
  <c r="G269" i="2"/>
  <c r="G268" i="2" s="1"/>
  <c r="G267" i="2" s="1"/>
  <c r="G263" i="2"/>
  <c r="G262" i="2" s="1"/>
  <c r="G261" i="2" s="1"/>
  <c r="G260" i="2" s="1"/>
  <c r="G259" i="2" s="1"/>
  <c r="G257" i="2"/>
  <c r="G256" i="2" s="1"/>
  <c r="G255" i="2" s="1"/>
  <c r="G254" i="2" s="1"/>
  <c r="G251" i="2"/>
  <c r="G248" i="2"/>
  <c r="G245" i="2"/>
  <c r="G242" i="2"/>
  <c r="G240" i="2"/>
  <c r="G236" i="2"/>
  <c r="G234" i="2"/>
  <c r="G231" i="2"/>
  <c r="G228" i="2"/>
  <c r="G223" i="2"/>
  <c r="G222" i="2" s="1"/>
  <c r="G221" i="2" s="1"/>
  <c r="G220" i="2" s="1"/>
  <c r="G217" i="2"/>
  <c r="G216" i="2" s="1"/>
  <c r="G215" i="2" s="1"/>
  <c r="G214" i="2" s="1"/>
  <c r="G212" i="2"/>
  <c r="G211" i="2" s="1"/>
  <c r="G210" i="2" s="1"/>
  <c r="G209" i="2" s="1"/>
  <c r="G204" i="2"/>
  <c r="G203" i="2" s="1"/>
  <c r="G202" i="2" s="1"/>
  <c r="G201" i="2" s="1"/>
  <c r="G195" i="2"/>
  <c r="G193" i="2"/>
  <c r="G187" i="2"/>
  <c r="G185" i="2"/>
  <c r="G183" i="2"/>
  <c r="G181" i="2"/>
  <c r="G178" i="2"/>
  <c r="G177" i="2" s="1"/>
  <c r="G171" i="2"/>
  <c r="G170" i="2" s="1"/>
  <c r="G167" i="2"/>
  <c r="G164" i="2"/>
  <c r="G159" i="2"/>
  <c r="G158" i="2" s="1"/>
  <c r="G155" i="2"/>
  <c r="G154" i="2" s="1"/>
  <c r="G151" i="2"/>
  <c r="G145" i="2"/>
  <c r="G135" i="2"/>
  <c r="G132" i="2"/>
  <c r="G128" i="2"/>
  <c r="G127" i="2" s="1"/>
  <c r="G126" i="2" s="1"/>
  <c r="G123" i="2"/>
  <c r="G120" i="2"/>
  <c r="G116" i="2"/>
  <c r="G115" i="2" s="1"/>
  <c r="G114" i="2" s="1"/>
  <c r="G109" i="2"/>
  <c r="G108" i="2" s="1"/>
  <c r="G107" i="2" s="1"/>
  <c r="G105" i="2"/>
  <c r="G104" i="2" s="1"/>
  <c r="G103" i="2" s="1"/>
  <c r="G102" i="2" s="1"/>
  <c r="G99" i="2"/>
  <c r="G90" i="2" s="1"/>
  <c r="G78" i="2"/>
  <c r="G77" i="2" s="1"/>
  <c r="G76" i="2" s="1"/>
  <c r="G72" i="2"/>
  <c r="G71" i="2" s="1"/>
  <c r="G67" i="2"/>
  <c r="G65" i="2"/>
  <c r="G61" i="2"/>
  <c r="G60" i="2" s="1"/>
  <c r="G57" i="2"/>
  <c r="G55" i="2"/>
  <c r="G53" i="2"/>
  <c r="G46" i="2"/>
  <c r="G44" i="2"/>
  <c r="G37" i="2"/>
  <c r="G36" i="2" s="1"/>
  <c r="G35" i="2" s="1"/>
  <c r="G34" i="2" s="1"/>
  <c r="G24" i="2"/>
  <c r="G23" i="2" s="1"/>
  <c r="G22" i="2" s="1"/>
  <c r="G21" i="2" s="1"/>
  <c r="G18" i="2"/>
  <c r="G15" i="2"/>
  <c r="G10" i="2"/>
  <c r="G9" i="2" s="1"/>
  <c r="G8" i="2" s="1"/>
  <c r="G7" i="2" s="1"/>
  <c r="F157" i="2"/>
  <c r="H157" i="2" s="1"/>
  <c r="F148" i="2"/>
  <c r="F147" i="2" s="1"/>
  <c r="F117" i="2"/>
  <c r="H117" i="2" s="1"/>
  <c r="H116" i="2" s="1"/>
  <c r="H115" i="2" s="1"/>
  <c r="H114" i="2" s="1"/>
  <c r="I270" i="2"/>
  <c r="K270" i="2" s="1"/>
  <c r="K269" i="2" s="1"/>
  <c r="K268" i="2" s="1"/>
  <c r="K267" i="2" s="1"/>
  <c r="N270" i="2"/>
  <c r="N269" i="2" s="1"/>
  <c r="N268" i="2" s="1"/>
  <c r="N267" i="2" s="1"/>
  <c r="F270" i="2"/>
  <c r="H270" i="2" s="1"/>
  <c r="H269" i="2" s="1"/>
  <c r="H268" i="2" s="1"/>
  <c r="H267" i="2" s="1"/>
  <c r="F92" i="2"/>
  <c r="H92" i="2" s="1"/>
  <c r="H91" i="2" s="1"/>
  <c r="N30" i="2"/>
  <c r="I30" i="2"/>
  <c r="K30" i="2" s="1"/>
  <c r="F30" i="2"/>
  <c r="H30" i="2" s="1"/>
  <c r="K95" i="2" l="1"/>
  <c r="H95" i="2"/>
  <c r="H90" i="2" s="1"/>
  <c r="H89" i="2" s="1"/>
  <c r="N110" i="2"/>
  <c r="N109" i="2" s="1"/>
  <c r="N108" i="2" s="1"/>
  <c r="J266" i="2"/>
  <c r="J265" i="2" s="1"/>
  <c r="N95" i="2"/>
  <c r="K266" i="2"/>
  <c r="K265" i="2" s="1"/>
  <c r="H266" i="2"/>
  <c r="H265" i="2" s="1"/>
  <c r="G180" i="2"/>
  <c r="N266" i="2"/>
  <c r="N265" i="2" s="1"/>
  <c r="G266" i="2"/>
  <c r="G265" i="2" s="1"/>
  <c r="M266" i="2"/>
  <c r="M265" i="2" s="1"/>
  <c r="H148" i="2"/>
  <c r="H147" i="2" s="1"/>
  <c r="H110" i="2"/>
  <c r="H109" i="2" s="1"/>
  <c r="H108" i="2" s="1"/>
  <c r="H107" i="2" s="1"/>
  <c r="G89" i="2"/>
  <c r="G75" i="2" s="1"/>
  <c r="M144" i="2"/>
  <c r="M139" i="2" s="1"/>
  <c r="M138" i="2" s="1"/>
  <c r="J14" i="2"/>
  <c r="J13" i="2" s="1"/>
  <c r="J12" i="2" s="1"/>
  <c r="M131" i="2"/>
  <c r="M130" i="2" s="1"/>
  <c r="M125" i="2" s="1"/>
  <c r="H231" i="2"/>
  <c r="M43" i="2"/>
  <c r="M42" i="2" s="1"/>
  <c r="M41" i="2" s="1"/>
  <c r="K231" i="2"/>
  <c r="N29" i="2"/>
  <c r="N28" i="2" s="1"/>
  <c r="N27" i="2" s="1"/>
  <c r="H155" i="2"/>
  <c r="H154" i="2" s="1"/>
  <c r="K155" i="2"/>
  <c r="K154" i="2" s="1"/>
  <c r="K167" i="2"/>
  <c r="K163" i="2" s="1"/>
  <c r="J21" i="2"/>
  <c r="J244" i="2"/>
  <c r="J239" i="2" s="1"/>
  <c r="J238" i="2" s="1"/>
  <c r="G14" i="2"/>
  <c r="G13" i="2" s="1"/>
  <c r="G12" i="2" s="1"/>
  <c r="G119" i="2"/>
  <c r="G118" i="2" s="1"/>
  <c r="J131" i="2"/>
  <c r="J130" i="2" s="1"/>
  <c r="J125" i="2" s="1"/>
  <c r="M14" i="2"/>
  <c r="M13" i="2" s="1"/>
  <c r="M12" i="2" s="1"/>
  <c r="H167" i="2"/>
  <c r="H163" i="2" s="1"/>
  <c r="H228" i="2"/>
  <c r="J119" i="2"/>
  <c r="J118" i="2" s="1"/>
  <c r="K195" i="2"/>
  <c r="N18" i="2"/>
  <c r="M227" i="2"/>
  <c r="M226" i="2" s="1"/>
  <c r="M225" i="2" s="1"/>
  <c r="J43" i="2"/>
  <c r="J42" i="2" s="1"/>
  <c r="J41" i="2" s="1"/>
  <c r="J163" i="2"/>
  <c r="J162" i="2" s="1"/>
  <c r="J161" i="2" s="1"/>
  <c r="M21" i="2"/>
  <c r="M50" i="2"/>
  <c r="M49" i="2" s="1"/>
  <c r="K147" i="2"/>
  <c r="K144" i="2" s="1"/>
  <c r="N147" i="2"/>
  <c r="N144" i="2" s="1"/>
  <c r="N195" i="2"/>
  <c r="K18" i="2"/>
  <c r="J50" i="2"/>
  <c r="J49" i="2" s="1"/>
  <c r="K132" i="2"/>
  <c r="K131" i="2" s="1"/>
  <c r="K130" i="2" s="1"/>
  <c r="K125" i="2" s="1"/>
  <c r="N155" i="2"/>
  <c r="N154" i="2" s="1"/>
  <c r="M180" i="2"/>
  <c r="M176" i="2" s="1"/>
  <c r="M175" i="2" s="1"/>
  <c r="H29" i="2"/>
  <c r="H28" i="2" s="1"/>
  <c r="H27" i="2" s="1"/>
  <c r="N204" i="2"/>
  <c r="N203" i="2" s="1"/>
  <c r="N202" i="2" s="1"/>
  <c r="N201" i="2" s="1"/>
  <c r="J64" i="2"/>
  <c r="J63" i="2" s="1"/>
  <c r="J180" i="2"/>
  <c r="J176" i="2" s="1"/>
  <c r="J175" i="2" s="1"/>
  <c r="K204" i="2"/>
  <c r="K203" i="2" s="1"/>
  <c r="K202" i="2" s="1"/>
  <c r="K201" i="2" s="1"/>
  <c r="J227" i="2"/>
  <c r="J226" i="2" s="1"/>
  <c r="J225" i="2" s="1"/>
  <c r="N43" i="2"/>
  <c r="N42" i="2" s="1"/>
  <c r="N41" i="2" s="1"/>
  <c r="M64" i="2"/>
  <c r="M63" i="2" s="1"/>
  <c r="M163" i="2"/>
  <c r="M162" i="2" s="1"/>
  <c r="M161" i="2" s="1"/>
  <c r="N167" i="2"/>
  <c r="N163" i="2" s="1"/>
  <c r="N228" i="2"/>
  <c r="M244" i="2"/>
  <c r="M239" i="2" s="1"/>
  <c r="M238" i="2" s="1"/>
  <c r="N132" i="2"/>
  <c r="N131" i="2" s="1"/>
  <c r="N130" i="2" s="1"/>
  <c r="N125" i="2" s="1"/>
  <c r="J144" i="2"/>
  <c r="J139" i="2" s="1"/>
  <c r="J138" i="2" s="1"/>
  <c r="M119" i="2"/>
  <c r="M118" i="2" s="1"/>
  <c r="N171" i="2"/>
  <c r="N170" i="2" s="1"/>
  <c r="N231" i="2"/>
  <c r="K29" i="2"/>
  <c r="K28" i="2" s="1"/>
  <c r="K27" i="2" s="1"/>
  <c r="H18" i="2"/>
  <c r="K171" i="2"/>
  <c r="K170" i="2" s="1"/>
  <c r="K228" i="2"/>
  <c r="K43" i="2"/>
  <c r="K42" i="2" s="1"/>
  <c r="K41" i="2" s="1"/>
  <c r="G163" i="2"/>
  <c r="G162" i="2" s="1"/>
  <c r="G161" i="2" s="1"/>
  <c r="G144" i="2"/>
  <c r="G139" i="2" s="1"/>
  <c r="G138" i="2" s="1"/>
  <c r="G244" i="2"/>
  <c r="G239" i="2" s="1"/>
  <c r="G238" i="2" s="1"/>
  <c r="G227" i="2"/>
  <c r="G226" i="2" s="1"/>
  <c r="G225" i="2" s="1"/>
  <c r="H204" i="2"/>
  <c r="H203" i="2" s="1"/>
  <c r="H202" i="2" s="1"/>
  <c r="H201" i="2" s="1"/>
  <c r="G176" i="2"/>
  <c r="G175" i="2" s="1"/>
  <c r="G131" i="2"/>
  <c r="G130" i="2" s="1"/>
  <c r="G125" i="2" s="1"/>
  <c r="G50" i="2"/>
  <c r="G49" i="2" s="1"/>
  <c r="G43" i="2"/>
  <c r="G42" i="2" s="1"/>
  <c r="G41" i="2" s="1"/>
  <c r="H43" i="2"/>
  <c r="H42" i="2" s="1"/>
  <c r="H41" i="2" s="1"/>
  <c r="G64" i="2"/>
  <c r="G63" i="2" s="1"/>
  <c r="F54" i="2"/>
  <c r="H54" i="2" s="1"/>
  <c r="H53" i="2" s="1"/>
  <c r="F62" i="2"/>
  <c r="H62" i="2" s="1"/>
  <c r="H61" i="2" s="1"/>
  <c r="H60" i="2" s="1"/>
  <c r="J273" i="2" l="1"/>
  <c r="N107" i="2"/>
  <c r="M273" i="2"/>
  <c r="G273" i="2"/>
  <c r="M113" i="2"/>
  <c r="M101" i="2" s="1"/>
  <c r="M272" i="2"/>
  <c r="J113" i="2"/>
  <c r="J101" i="2" s="1"/>
  <c r="J272" i="2"/>
  <c r="G113" i="2"/>
  <c r="G272" i="2"/>
  <c r="H144" i="2"/>
  <c r="H139" i="2" s="1"/>
  <c r="H138" i="2" s="1"/>
  <c r="G74" i="2"/>
  <c r="H227" i="2"/>
  <c r="H226" i="2" s="1"/>
  <c r="H225" i="2" s="1"/>
  <c r="G48" i="2"/>
  <c r="G6" i="2" s="1"/>
  <c r="K227" i="2"/>
  <c r="K226" i="2" s="1"/>
  <c r="K225" i="2" s="1"/>
  <c r="K139" i="2"/>
  <c r="K138" i="2" s="1"/>
  <c r="J137" i="2"/>
  <c r="K162" i="2"/>
  <c r="K161" i="2" s="1"/>
  <c r="J219" i="2"/>
  <c r="M219" i="2"/>
  <c r="M48" i="2"/>
  <c r="M6" i="2" s="1"/>
  <c r="N139" i="2"/>
  <c r="N138" i="2" s="1"/>
  <c r="M137" i="2"/>
  <c r="J48" i="2"/>
  <c r="J6" i="2" s="1"/>
  <c r="N227" i="2"/>
  <c r="N226" i="2" s="1"/>
  <c r="N225" i="2" s="1"/>
  <c r="N162" i="2"/>
  <c r="N161" i="2" s="1"/>
  <c r="G219" i="2"/>
  <c r="G137" i="2"/>
  <c r="N73" i="2"/>
  <c r="N72" i="2" s="1"/>
  <c r="N71" i="2" s="1"/>
  <c r="J274" i="2" l="1"/>
  <c r="G274" i="2"/>
  <c r="M274" i="2"/>
  <c r="G5" i="2"/>
  <c r="J5" i="2"/>
  <c r="J275" i="2" s="1"/>
  <c r="M5" i="2"/>
  <c r="I195" i="2"/>
  <c r="G275" i="2" l="1"/>
  <c r="M275" i="2"/>
  <c r="I167" i="2"/>
  <c r="F167" i="2"/>
  <c r="I204" i="2" l="1"/>
  <c r="I203" i="2" s="1"/>
  <c r="I202" i="2" s="1"/>
  <c r="I201" i="2" s="1"/>
  <c r="F204" i="2"/>
  <c r="F203" i="2" s="1"/>
  <c r="F202" i="2" s="1"/>
  <c r="F201" i="2" s="1"/>
  <c r="F199" i="2"/>
  <c r="F198" i="2" s="1"/>
  <c r="F196" i="2"/>
  <c r="I193" i="2"/>
  <c r="F193" i="2"/>
  <c r="I190" i="2"/>
  <c r="K190" i="2" s="1"/>
  <c r="K189" i="2" s="1"/>
  <c r="F190" i="2"/>
  <c r="I187" i="2"/>
  <c r="F187" i="2"/>
  <c r="I185" i="2"/>
  <c r="F185" i="2"/>
  <c r="I183" i="2"/>
  <c r="F183" i="2"/>
  <c r="I182" i="2"/>
  <c r="F182" i="2"/>
  <c r="I178" i="2"/>
  <c r="I177" i="2" s="1"/>
  <c r="F178" i="2"/>
  <c r="F177" i="2" s="1"/>
  <c r="F172" i="2"/>
  <c r="I171" i="2"/>
  <c r="I170" i="2" s="1"/>
  <c r="I164" i="2"/>
  <c r="F164" i="2"/>
  <c r="I159" i="2"/>
  <c r="I158" i="2" s="1"/>
  <c r="F159" i="2"/>
  <c r="F158" i="2" s="1"/>
  <c r="I155" i="2"/>
  <c r="I154" i="2" s="1"/>
  <c r="F155" i="2"/>
  <c r="F154" i="2" s="1"/>
  <c r="I151" i="2"/>
  <c r="F151" i="2"/>
  <c r="I147" i="2"/>
  <c r="I145" i="2"/>
  <c r="F145" i="2"/>
  <c r="I142" i="2"/>
  <c r="F142" i="2"/>
  <c r="I140" i="2"/>
  <c r="F140" i="2"/>
  <c r="I123" i="2"/>
  <c r="F123" i="2"/>
  <c r="I121" i="2"/>
  <c r="F121" i="2"/>
  <c r="I116" i="2"/>
  <c r="I115" i="2" s="1"/>
  <c r="I114" i="2" s="1"/>
  <c r="F116" i="2"/>
  <c r="F115" i="2" s="1"/>
  <c r="F114" i="2" s="1"/>
  <c r="I105" i="2"/>
  <c r="I104" i="2" s="1"/>
  <c r="I103" i="2" s="1"/>
  <c r="F105" i="2"/>
  <c r="F104" i="2" s="1"/>
  <c r="F103" i="2" s="1"/>
  <c r="N39" i="2"/>
  <c r="I39" i="2"/>
  <c r="K39" i="2" s="1"/>
  <c r="F39" i="2"/>
  <c r="H39" i="2" s="1"/>
  <c r="N38" i="2"/>
  <c r="I38" i="2"/>
  <c r="K38" i="2" s="1"/>
  <c r="F38" i="2"/>
  <c r="H38" i="2" s="1"/>
  <c r="I269" i="2"/>
  <c r="I268" i="2" s="1"/>
  <c r="I267" i="2" s="1"/>
  <c r="F269" i="2"/>
  <c r="F268" i="2" s="1"/>
  <c r="F267" i="2" s="1"/>
  <c r="I264" i="2"/>
  <c r="F264" i="2"/>
  <c r="I257" i="2"/>
  <c r="I256" i="2" s="1"/>
  <c r="I255" i="2" s="1"/>
  <c r="I254" i="2" s="1"/>
  <c r="F257" i="2"/>
  <c r="F256" i="2" s="1"/>
  <c r="F255" i="2" s="1"/>
  <c r="F254" i="2" s="1"/>
  <c r="I253" i="2"/>
  <c r="F253" i="2"/>
  <c r="I249" i="2"/>
  <c r="F249" i="2"/>
  <c r="I245" i="2"/>
  <c r="F245" i="2"/>
  <c r="I242" i="2"/>
  <c r="F242" i="2"/>
  <c r="I240" i="2"/>
  <c r="F240" i="2"/>
  <c r="I236" i="2"/>
  <c r="F236" i="2"/>
  <c r="I234" i="2"/>
  <c r="F234" i="2"/>
  <c r="I231" i="2"/>
  <c r="F231" i="2"/>
  <c r="I228" i="2"/>
  <c r="F228" i="2"/>
  <c r="I223" i="2"/>
  <c r="I222" i="2" s="1"/>
  <c r="I221" i="2" s="1"/>
  <c r="I220" i="2" s="1"/>
  <c r="F223" i="2"/>
  <c r="F222" i="2" s="1"/>
  <c r="F221" i="2" s="1"/>
  <c r="F220" i="2" s="1"/>
  <c r="I217" i="2"/>
  <c r="I216" i="2" s="1"/>
  <c r="I215" i="2" s="1"/>
  <c r="I214" i="2" s="1"/>
  <c r="F217" i="2"/>
  <c r="F216" i="2" s="1"/>
  <c r="F215" i="2" s="1"/>
  <c r="F214" i="2" s="1"/>
  <c r="I212" i="2"/>
  <c r="I211" i="2" s="1"/>
  <c r="F212" i="2"/>
  <c r="F211" i="2" s="1"/>
  <c r="I135" i="2"/>
  <c r="F135" i="2"/>
  <c r="F134" i="2"/>
  <c r="I132" i="2"/>
  <c r="I128" i="2"/>
  <c r="I127" i="2" s="1"/>
  <c r="I126" i="2" s="1"/>
  <c r="F128" i="2"/>
  <c r="F127" i="2" s="1"/>
  <c r="F126" i="2" s="1"/>
  <c r="I109" i="2"/>
  <c r="I108" i="2" s="1"/>
  <c r="I107" i="2" s="1"/>
  <c r="F109" i="2"/>
  <c r="F108" i="2" s="1"/>
  <c r="F107" i="2" s="1"/>
  <c r="I99" i="2"/>
  <c r="F99" i="2"/>
  <c r="F95" i="2"/>
  <c r="I92" i="2"/>
  <c r="I91" i="2" s="1"/>
  <c r="F91" i="2"/>
  <c r="I79" i="2"/>
  <c r="F79" i="2"/>
  <c r="I72" i="2"/>
  <c r="I71" i="2" s="1"/>
  <c r="F72" i="2"/>
  <c r="F71" i="2" s="1"/>
  <c r="N69" i="2"/>
  <c r="I69" i="2"/>
  <c r="K69" i="2" s="1"/>
  <c r="F69" i="2"/>
  <c r="H69" i="2" s="1"/>
  <c r="N68" i="2"/>
  <c r="I68" i="2"/>
  <c r="K68" i="2" s="1"/>
  <c r="F68" i="2"/>
  <c r="H68" i="2" s="1"/>
  <c r="I66" i="2"/>
  <c r="F66" i="2"/>
  <c r="I61" i="2"/>
  <c r="I60" i="2" s="1"/>
  <c r="F61" i="2"/>
  <c r="F60" i="2" s="1"/>
  <c r="N58" i="2"/>
  <c r="N57" i="2" s="1"/>
  <c r="N50" i="2" s="1"/>
  <c r="N49" i="2" s="1"/>
  <c r="I58" i="2"/>
  <c r="K58" i="2" s="1"/>
  <c r="K57" i="2" s="1"/>
  <c r="K50" i="2" s="1"/>
  <c r="K49" i="2" s="1"/>
  <c r="F58" i="2"/>
  <c r="I55" i="2"/>
  <c r="F55" i="2"/>
  <c r="I53" i="2"/>
  <c r="F53" i="2"/>
  <c r="I51" i="2"/>
  <c r="F51" i="2"/>
  <c r="I46" i="2"/>
  <c r="F46" i="2"/>
  <c r="I44" i="2"/>
  <c r="F44" i="2"/>
  <c r="I29" i="2"/>
  <c r="I28" i="2" s="1"/>
  <c r="I27" i="2" s="1"/>
  <c r="F29" i="2"/>
  <c r="F28" i="2" s="1"/>
  <c r="F27" i="2" s="1"/>
  <c r="I25" i="2"/>
  <c r="F25" i="2"/>
  <c r="I11" i="2"/>
  <c r="F11" i="2"/>
  <c r="I18" i="2"/>
  <c r="F18" i="2"/>
  <c r="N17" i="2"/>
  <c r="I17" i="2"/>
  <c r="K17" i="2" s="1"/>
  <c r="F17" i="2"/>
  <c r="H17" i="2" s="1"/>
  <c r="N16" i="2"/>
  <c r="I16" i="2"/>
  <c r="K16" i="2" s="1"/>
  <c r="F16" i="2"/>
  <c r="H16" i="2" s="1"/>
  <c r="I90" i="2" l="1"/>
  <c r="I89" i="2" s="1"/>
  <c r="F266" i="2"/>
  <c r="F265" i="2" s="1"/>
  <c r="I266" i="2"/>
  <c r="I265" i="2" s="1"/>
  <c r="F90" i="2"/>
  <c r="F89" i="2" s="1"/>
  <c r="H67" i="2"/>
  <c r="K15" i="2"/>
  <c r="K14" i="2" s="1"/>
  <c r="K13" i="2" s="1"/>
  <c r="K12" i="2" s="1"/>
  <c r="N37" i="2"/>
  <c r="N36" i="2" s="1"/>
  <c r="N35" i="2" s="1"/>
  <c r="N34" i="2" s="1"/>
  <c r="I10" i="2"/>
  <c r="I9" i="2" s="1"/>
  <c r="I8" i="2" s="1"/>
  <c r="I7" i="2" s="1"/>
  <c r="K11" i="2"/>
  <c r="K10" i="2" s="1"/>
  <c r="K9" i="2" s="1"/>
  <c r="K8" i="2" s="1"/>
  <c r="K7" i="2" s="1"/>
  <c r="N25" i="2"/>
  <c r="N24" i="2" s="1"/>
  <c r="N23" i="2" s="1"/>
  <c r="N22" i="2" s="1"/>
  <c r="N21" i="2" s="1"/>
  <c r="F78" i="2"/>
  <c r="F77" i="2" s="1"/>
  <c r="F76" i="2" s="1"/>
  <c r="H79" i="2"/>
  <c r="H78" i="2" s="1"/>
  <c r="H77" i="2" s="1"/>
  <c r="H76" i="2" s="1"/>
  <c r="N249" i="2"/>
  <c r="N248" i="2" s="1"/>
  <c r="H199" i="2"/>
  <c r="H198" i="2" s="1"/>
  <c r="K67" i="2"/>
  <c r="I78" i="2"/>
  <c r="K79" i="2"/>
  <c r="K78" i="2" s="1"/>
  <c r="K77" i="2" s="1"/>
  <c r="K76" i="2" s="1"/>
  <c r="F251" i="2"/>
  <c r="H253" i="2"/>
  <c r="H251" i="2" s="1"/>
  <c r="H37" i="2"/>
  <c r="H36" i="2" s="1"/>
  <c r="H35" i="2" s="1"/>
  <c r="H34" i="2" s="1"/>
  <c r="F120" i="2"/>
  <c r="F119" i="2" s="1"/>
  <c r="F118" i="2" s="1"/>
  <c r="H121" i="2"/>
  <c r="H120" i="2" s="1"/>
  <c r="H119" i="2" s="1"/>
  <c r="H118" i="2" s="1"/>
  <c r="F171" i="2"/>
  <c r="F170" i="2" s="1"/>
  <c r="H172" i="2"/>
  <c r="H171" i="2" s="1"/>
  <c r="H170" i="2" s="1"/>
  <c r="H162" i="2" s="1"/>
  <c r="H161" i="2" s="1"/>
  <c r="F181" i="2"/>
  <c r="H182" i="2"/>
  <c r="H181" i="2" s="1"/>
  <c r="F189" i="2"/>
  <c r="H190" i="2"/>
  <c r="H189" i="2" s="1"/>
  <c r="H15" i="2"/>
  <c r="H14" i="2" s="1"/>
  <c r="H13" i="2" s="1"/>
  <c r="H12" i="2" s="1"/>
  <c r="F24" i="2"/>
  <c r="F23" i="2" s="1"/>
  <c r="F22" i="2" s="1"/>
  <c r="F21" i="2" s="1"/>
  <c r="H25" i="2"/>
  <c r="H24" i="2" s="1"/>
  <c r="H23" i="2" s="1"/>
  <c r="H22" i="2" s="1"/>
  <c r="H21" i="2" s="1"/>
  <c r="I65" i="2"/>
  <c r="K66" i="2"/>
  <c r="K65" i="2" s="1"/>
  <c r="N67" i="2"/>
  <c r="N79" i="2"/>
  <c r="N78" i="2" s="1"/>
  <c r="N77" i="2" s="1"/>
  <c r="N76" i="2" s="1"/>
  <c r="F248" i="2"/>
  <c r="H249" i="2"/>
  <c r="H248" i="2" s="1"/>
  <c r="I251" i="2"/>
  <c r="K253" i="2"/>
  <c r="K251" i="2" s="1"/>
  <c r="K37" i="2"/>
  <c r="K36" i="2" s="1"/>
  <c r="K35" i="2" s="1"/>
  <c r="K34" i="2" s="1"/>
  <c r="I120" i="2"/>
  <c r="I119" i="2" s="1"/>
  <c r="I118" i="2" s="1"/>
  <c r="K121" i="2"/>
  <c r="K120" i="2" s="1"/>
  <c r="K119" i="2" s="1"/>
  <c r="K118" i="2" s="1"/>
  <c r="I181" i="2"/>
  <c r="K182" i="2"/>
  <c r="K181" i="2" s="1"/>
  <c r="K180" i="2" s="1"/>
  <c r="K176" i="2" s="1"/>
  <c r="K175" i="2" s="1"/>
  <c r="K137" i="2" s="1"/>
  <c r="K92" i="2"/>
  <c r="K91" i="2" s="1"/>
  <c r="K90" i="2" s="1"/>
  <c r="K89" i="2" s="1"/>
  <c r="F132" i="2"/>
  <c r="F131" i="2" s="1"/>
  <c r="F130" i="2" s="1"/>
  <c r="F125" i="2" s="1"/>
  <c r="H134" i="2"/>
  <c r="H132" i="2" s="1"/>
  <c r="H131" i="2" s="1"/>
  <c r="H130" i="2" s="1"/>
  <c r="H125" i="2" s="1"/>
  <c r="I263" i="2"/>
  <c r="I262" i="2" s="1"/>
  <c r="I261" i="2" s="1"/>
  <c r="I260" i="2" s="1"/>
  <c r="I259" i="2" s="1"/>
  <c r="K264" i="2"/>
  <c r="K263" i="2" s="1"/>
  <c r="K262" i="2" s="1"/>
  <c r="K261" i="2" s="1"/>
  <c r="K260" i="2" s="1"/>
  <c r="K259" i="2" s="1"/>
  <c r="N11" i="2"/>
  <c r="N10" i="2" s="1"/>
  <c r="N9" i="2" s="1"/>
  <c r="N8" i="2" s="1"/>
  <c r="N7" i="2" s="1"/>
  <c r="F65" i="2"/>
  <c r="H66" i="2"/>
  <c r="H65" i="2" s="1"/>
  <c r="N92" i="2"/>
  <c r="N91" i="2" s="1"/>
  <c r="N90" i="2" s="1"/>
  <c r="N89" i="2" s="1"/>
  <c r="N264" i="2"/>
  <c r="N263" i="2" s="1"/>
  <c r="N262" i="2" s="1"/>
  <c r="N261" i="2" s="1"/>
  <c r="N260" i="2" s="1"/>
  <c r="N259" i="2" s="1"/>
  <c r="N15" i="2"/>
  <c r="N14" i="2" s="1"/>
  <c r="N13" i="2" s="1"/>
  <c r="N12" i="2" s="1"/>
  <c r="F10" i="2"/>
  <c r="F9" i="2" s="1"/>
  <c r="F8" i="2" s="1"/>
  <c r="F7" i="2" s="1"/>
  <c r="H11" i="2"/>
  <c r="H10" i="2" s="1"/>
  <c r="H9" i="2" s="1"/>
  <c r="H8" i="2" s="1"/>
  <c r="H7" i="2" s="1"/>
  <c r="I24" i="2"/>
  <c r="I23" i="2" s="1"/>
  <c r="I22" i="2" s="1"/>
  <c r="I21" i="2" s="1"/>
  <c r="K25" i="2"/>
  <c r="K24" i="2" s="1"/>
  <c r="K23" i="2" s="1"/>
  <c r="K22" i="2" s="1"/>
  <c r="K21" i="2" s="1"/>
  <c r="F57" i="2"/>
  <c r="F50" i="2" s="1"/>
  <c r="F49" i="2" s="1"/>
  <c r="H58" i="2"/>
  <c r="H57" i="2" s="1"/>
  <c r="H50" i="2" s="1"/>
  <c r="H49" i="2" s="1"/>
  <c r="N66" i="2"/>
  <c r="N65" i="2" s="1"/>
  <c r="I248" i="2"/>
  <c r="K249" i="2"/>
  <c r="K248" i="2" s="1"/>
  <c r="N253" i="2"/>
  <c r="N251" i="2" s="1"/>
  <c r="F263" i="2"/>
  <c r="F262" i="2" s="1"/>
  <c r="F261" i="2" s="1"/>
  <c r="F260" i="2" s="1"/>
  <c r="F259" i="2" s="1"/>
  <c r="H264" i="2"/>
  <c r="H263" i="2" s="1"/>
  <c r="H262" i="2" s="1"/>
  <c r="H261" i="2" s="1"/>
  <c r="H260" i="2" s="1"/>
  <c r="H259" i="2" s="1"/>
  <c r="N121" i="2"/>
  <c r="N120" i="2" s="1"/>
  <c r="N119" i="2" s="1"/>
  <c r="N118" i="2" s="1"/>
  <c r="N182" i="2"/>
  <c r="N181" i="2" s="1"/>
  <c r="N190" i="2"/>
  <c r="N189" i="2" s="1"/>
  <c r="F195" i="2"/>
  <c r="H196" i="2"/>
  <c r="H195" i="2" s="1"/>
  <c r="F210" i="2"/>
  <c r="I210" i="2"/>
  <c r="F67" i="2"/>
  <c r="F163" i="2"/>
  <c r="I43" i="2"/>
  <c r="I42" i="2" s="1"/>
  <c r="I41" i="2" s="1"/>
  <c r="F227" i="2"/>
  <c r="F226" i="2" s="1"/>
  <c r="F225" i="2" s="1"/>
  <c r="F37" i="2"/>
  <c r="F36" i="2" s="1"/>
  <c r="F35" i="2" s="1"/>
  <c r="F34" i="2" s="1"/>
  <c r="I67" i="2"/>
  <c r="I131" i="2"/>
  <c r="I130" i="2" s="1"/>
  <c r="I125" i="2" s="1"/>
  <c r="I15" i="2"/>
  <c r="I14" i="2" s="1"/>
  <c r="I13" i="2" s="1"/>
  <c r="I12" i="2" s="1"/>
  <c r="F102" i="2"/>
  <c r="F15" i="2"/>
  <c r="F14" i="2" s="1"/>
  <c r="F13" i="2" s="1"/>
  <c r="F12" i="2" s="1"/>
  <c r="I37" i="2"/>
  <c r="I36" i="2" s="1"/>
  <c r="I35" i="2" s="1"/>
  <c r="I34" i="2" s="1"/>
  <c r="I227" i="2"/>
  <c r="I226" i="2" s="1"/>
  <c r="I225" i="2" s="1"/>
  <c r="I102" i="2"/>
  <c r="F43" i="2"/>
  <c r="F42" i="2" s="1"/>
  <c r="F41" i="2" s="1"/>
  <c r="F144" i="2"/>
  <c r="I57" i="2"/>
  <c r="I50" i="2" s="1"/>
  <c r="I49" i="2" s="1"/>
  <c r="I144" i="2"/>
  <c r="I139" i="2" s="1"/>
  <c r="I138" i="2" s="1"/>
  <c r="I163" i="2"/>
  <c r="I162" i="2" s="1"/>
  <c r="I161" i="2" s="1"/>
  <c r="F75" i="2" l="1"/>
  <c r="F74" i="2" s="1"/>
  <c r="K75" i="2"/>
  <c r="K74" i="2" s="1"/>
  <c r="I77" i="2"/>
  <c r="I76" i="2" s="1"/>
  <c r="H75" i="2"/>
  <c r="H74" i="2" s="1"/>
  <c r="N75" i="2"/>
  <c r="N74" i="2" s="1"/>
  <c r="F139" i="2"/>
  <c r="F138" i="2" s="1"/>
  <c r="K113" i="2"/>
  <c r="K101" i="2" s="1"/>
  <c r="H113" i="2"/>
  <c r="H101" i="2" s="1"/>
  <c r="I113" i="2"/>
  <c r="F113" i="2"/>
  <c r="F101" i="2" s="1"/>
  <c r="N113" i="2"/>
  <c r="N101" i="2" s="1"/>
  <c r="H180" i="2"/>
  <c r="H176" i="2" s="1"/>
  <c r="H175" i="2" s="1"/>
  <c r="H137" i="2" s="1"/>
  <c r="F180" i="2"/>
  <c r="F176" i="2" s="1"/>
  <c r="H64" i="2"/>
  <c r="H63" i="2" s="1"/>
  <c r="F162" i="2"/>
  <c r="F161" i="2" s="1"/>
  <c r="H244" i="2"/>
  <c r="H239" i="2" s="1"/>
  <c r="H238" i="2" s="1"/>
  <c r="H219" i="2" s="1"/>
  <c r="I244" i="2"/>
  <c r="I239" i="2" s="1"/>
  <c r="I238" i="2" s="1"/>
  <c r="I219" i="2" s="1"/>
  <c r="F244" i="2"/>
  <c r="F239" i="2" s="1"/>
  <c r="F238" i="2" s="1"/>
  <c r="F219" i="2" s="1"/>
  <c r="N64" i="2"/>
  <c r="N63" i="2" s="1"/>
  <c r="N48" i="2" s="1"/>
  <c r="N6" i="2" s="1"/>
  <c r="N244" i="2"/>
  <c r="N239" i="2" s="1"/>
  <c r="N238" i="2" s="1"/>
  <c r="N219" i="2" s="1"/>
  <c r="F64" i="2"/>
  <c r="F63" i="2" s="1"/>
  <c r="F48" i="2" s="1"/>
  <c r="F6" i="2" s="1"/>
  <c r="I64" i="2"/>
  <c r="I63" i="2" s="1"/>
  <c r="N180" i="2"/>
  <c r="N176" i="2" s="1"/>
  <c r="N175" i="2" s="1"/>
  <c r="N137" i="2" s="1"/>
  <c r="K244" i="2"/>
  <c r="K239" i="2" s="1"/>
  <c r="K238" i="2" s="1"/>
  <c r="K219" i="2" s="1"/>
  <c r="K64" i="2"/>
  <c r="K63" i="2" s="1"/>
  <c r="K48" i="2" s="1"/>
  <c r="K6" i="2" s="1"/>
  <c r="F209" i="2"/>
  <c r="I209" i="2"/>
  <c r="I101" i="2"/>
  <c r="I189" i="2"/>
  <c r="N273" i="2" l="1"/>
  <c r="I75" i="2"/>
  <c r="I74" i="2" s="1"/>
  <c r="F175" i="2"/>
  <c r="F137" i="2" s="1"/>
  <c r="F5" i="2" s="1"/>
  <c r="F272" i="2"/>
  <c r="F274" i="2" s="1"/>
  <c r="H272" i="2"/>
  <c r="K273" i="2"/>
  <c r="N272" i="2"/>
  <c r="K272" i="2"/>
  <c r="K274" i="2" s="1"/>
  <c r="I48" i="2"/>
  <c r="I6" i="2" s="1"/>
  <c r="I273" i="2"/>
  <c r="H48" i="2"/>
  <c r="H6" i="2" s="1"/>
  <c r="H5" i="2" s="1"/>
  <c r="H273" i="2"/>
  <c r="F273" i="2"/>
  <c r="K5" i="2"/>
  <c r="N5" i="2"/>
  <c r="I180" i="2"/>
  <c r="I176" i="2" s="1"/>
  <c r="I272" i="2" s="1"/>
  <c r="I274" i="2" s="1"/>
  <c r="N274" i="2" l="1"/>
  <c r="N275" i="2" s="1"/>
  <c r="K275" i="2"/>
  <c r="F275" i="2"/>
  <c r="H274" i="2"/>
  <c r="H275" i="2" s="1"/>
  <c r="I175" i="2"/>
  <c r="I137" i="2" s="1"/>
  <c r="I5" i="2" l="1"/>
  <c r="I275" i="2" s="1"/>
</calcChain>
</file>

<file path=xl/sharedStrings.xml><?xml version="1.0" encoding="utf-8"?>
<sst xmlns="http://schemas.openxmlformats.org/spreadsheetml/2006/main" count="1326" uniqueCount="265">
  <si>
    <t/>
  </si>
  <si>
    <t>Рубли</t>
  </si>
  <si>
    <t>Наименование</t>
  </si>
  <si>
    <t>РЗ</t>
  </si>
  <si>
    <t>ПР</t>
  </si>
  <si>
    <t>ЦСР</t>
  </si>
  <si>
    <t>ВР</t>
  </si>
  <si>
    <t>ВСЕГО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</si>
  <si>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</si>
  <si>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</si>
  <si>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</si>
  <si>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</si>
  <si>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</si>
  <si>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</si>
  <si>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</si>
  <si>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</si>
  <si>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</si>
  <si>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</si>
  <si>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</si>
  <si>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</si>
  <si>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</si>
  <si>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</si>
  <si>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</si>
  <si>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</si>
  <si>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</si>
  <si>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</si>
  <si>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</si>
  <si>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</si>
  <si>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</si>
  <si>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</si>
  <si>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</si>
  <si>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</si>
  <si>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</si>
  <si>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</si>
  <si>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</si>
  <si>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</si>
  <si>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</si>
  <si>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</si>
  <si>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</si>
  <si>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</si>
  <si>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</si>
  <si>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</si>
  <si>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</si>
  <si>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</si>
  <si>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</si>
  <si>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</si>
  <si>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</si>
  <si>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</si>
  <si>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</si>
  <si>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</si>
  <si>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</si>
  <si>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</si>
  <si>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</si>
  <si>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</si>
  <si>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</si>
  <si>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</si>
  <si>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</si>
  <si>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</si>
  <si>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</si>
  <si>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</si>
  <si>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</si>
  <si>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</si>
  <si>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</si>
  <si>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</si>
  <si>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</si>
  <si>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</si>
  <si>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</si>
  <si>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</si>
  <si>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</si>
  <si>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</si>
  <si>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</si>
  <si>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</si>
  <si>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</si>
  <si>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</si>
  <si>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</si>
  <si>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</si>
  <si>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</si>
  <si>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</si>
  <si>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</si>
  <si>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</si>
  <si>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</si>
  <si>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</si>
  <si>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</si>
  <si>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</si>
  <si>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</si>
  <si>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</si>
  <si>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</si>
  <si>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</si>
  <si>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</si>
  <si>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</si>
  <si>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</si>
  <si>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</si>
  <si>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</si>
  <si>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</si>
  <si>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</si>
  <si>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</si>
  <si>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</si>
  <si>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</si>
  <si>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</si>
  <si>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</si>
  <si>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</si>
  <si>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</si>
  <si>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</si>
  <si>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</si>
  <si>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</si>
  <si>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</si>
  <si>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</si>
  <si>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</si>
  <si>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</si>
  <si>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</si>
  <si>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</si>
  <si>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</si>
  <si>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</si>
  <si>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</si>
  <si>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</si>
  <si>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</si>
  <si>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</si>
  <si>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</si>
  <si>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</si>
  <si>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</si>
  <si>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</si>
  <si>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</si>
  <si>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</si>
  <si>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</si>
  <si>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</si>
  <si>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</si>
  <si>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</si>
  <si>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</si>
  <si>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</si>
  <si>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</si>
  <si>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</si>
  <si>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</si>
  <si>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</si>
  <si>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</si>
  <si>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</si>
  <si>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</si>
  <si>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</si>
  <si>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</si>
  <si>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</si>
  <si>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</si>
  <si>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</si>
  <si>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</si>
  <si>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</si>
  <si>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</si>
  <si>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</si>
  <si>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</si>
  <si>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</si>
  <si>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</si>
  <si>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</si>
  <si>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</si>
  <si>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</si>
  <si>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</si>
  <si>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</si>
  <si>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</si>
  <si>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</si>
  <si>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</si>
  <si>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</si>
  <si>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</si>
  <si>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</si>
  <si>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</si>
  <si>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</si>
  <si>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</si>
  <si>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</si>
  <si>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</si>
  <si>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</si>
  <si>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</si>
  <si>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</si>
  <si>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</si>
  <si>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</si>
  <si>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</si>
  <si>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</si>
  <si>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</si>
  <si>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</si>
  <si>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</si>
  <si>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</si>
  <si>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</si>
  <si>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</si>
  <si>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</si>
  <si>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</si>
  <si>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</si>
  <si>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</si>
  <si>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</si>
  <si>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</si>
  <si>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</si>
  <si>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</si>
  <si>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</si>
  <si>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</si>
  <si>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</si>
  <si>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</si>
  <si>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</si>
  <si>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</si>
  <si>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</si>
  <si>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</si>
  <si>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</si>
  <si>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</si>
  <si>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</si>
  <si>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</si>
  <si>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</si>
  <si>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</si>
  <si>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</si>
  <si>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</si>
  <si>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</si>
  <si>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</si>
  <si>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</si>
  <si>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</si>
  <si>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</si>
  <si>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</si>
  <si>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</si>
  <si>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</si>
  <si>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</si>
  <si>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</si>
  <si>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</si>
  <si>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</si>
  <si>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</si>
  <si>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</si>
  <si>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</si>
  <si>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</si>
  <si>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</si>
  <si>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</si>
  <si>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</si>
  <si>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</si>
  <si>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</si>
  <si>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</si>
  <si>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</si>
  <si>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</si>
  <si>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20 3 00 1003 0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</si>
  <si>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</si>
  <si>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</si>
  <si>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</si>
  <si>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</si>
  <si>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</si>
  <si>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Реализация мероприятий по обеспечению жильем молодых семей (за счет МБ)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</si>
  <si>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</si>
  <si>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</si>
  <si>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</si>
  <si>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</si>
  <si>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</si>
  <si>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</si>
  <si>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</si>
  <si>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</si>
  <si>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</si>
  <si>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20 2 00 S4701</t>
  </si>
  <si>
    <t>Реализация мероприятий по обеспечению жильем молодых семей</t>
  </si>
  <si>
    <t>Сумма уточнений             (+, -)</t>
  </si>
  <si>
    <t>2021 год с уточнениями</t>
  </si>
  <si>
    <t>2022 год с уточнениями</t>
  </si>
  <si>
    <t>2023 год с уточнениями</t>
  </si>
  <si>
    <t>Профилактика правонарушений</t>
  </si>
  <si>
    <t>17 0 00 0000 0</t>
  </si>
  <si>
    <t xml:space="preserve">Повышение эффективности работы в сфере профилактики правонарушений </t>
  </si>
  <si>
    <t>17 1 00 0000 0</t>
  </si>
  <si>
    <t xml:space="preserve">Содействие развитию добровольных народных дружин в сфере охраны общественного порядка </t>
  </si>
  <si>
    <t>17 1 00 1004 0</t>
  </si>
  <si>
    <t xml:space="preserve">Социальное обеспечение и иные выплаты населению
</t>
  </si>
  <si>
    <t xml:space="preserve">Безопасность дорожного движения </t>
  </si>
  <si>
    <t>17 2 00 0000 0</t>
  </si>
  <si>
    <t>Организация профилактических мероприятий по пропаганде безопасности дорожного движения</t>
  </si>
  <si>
    <t>17 2 00 1001 0</t>
  </si>
  <si>
    <t>Прогр.</t>
  </si>
  <si>
    <t>Непр.</t>
  </si>
  <si>
    <t>Итого</t>
  </si>
  <si>
    <t>Проверка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</si>
  <si>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</si>
  <si>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по разделам, подразделам, целевым статьям и группам видов расходов классификации расходов на 2021 год и на плановый период 2022 и 2023 годов     </t>
  </si>
  <si>
    <t xml:space="preserve">Приложение 04
к решению городского Совета
от 04.03.2021 № IV - 38-5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</si>
</sst>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71">
    <xf numFmtId="0" fontId="0" fillId="0" borderId="0" xfId="0" applyFont="1" applyFill="1" applyAlignment="1">
      <alignment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0" xfId="0" applyFont="1">
      <alignment vertical="top" wrapText="1"/>
    </xf>
    <xf numFmtId="0" fontId="8" fillId="0" borderId="1" xfId="0" applyFont="1" applyBorder="1">
      <alignment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6" fillId="0" borderId="1" xfId="0" applyFont="1" applyBorder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8" fillId="0" borderId="0" xfId="0" applyNumberFormat="1" applyFont="1">
      <alignment vertical="top" wrapText="1"/>
    </xf>
    <xf numFmtId="0" fontId="7" fillId="0" borderId="1" xfId="0" applyFont="1" applyBorder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>
      <alignment vertical="top" wrapText="1"/>
    </xf>
    <xf numFmtId="0" fontId="10" fillId="0" borderId="1" xfId="0" applyFont="1" applyBorder="1">
      <alignment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1" fillId="0" borderId="0" xfId="0" applyFont="1">
      <alignment vertical="top" wrapText="1"/>
    </xf>
    <xf numFmtId="0" fontId="11" fillId="0" borderId="1" xfId="0" applyFont="1" applyBorder="1">
      <alignment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3" xfId="0" applyFont="1" applyBorder="1">
      <alignment vertical="top" wrapText="1"/>
    </xf>
    <xf numFmtId="0" fontId="6" fillId="0" borderId="3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6" fillId="0" borderId="5" xfId="0" applyFont="1" applyBorder="1">
      <alignment vertical="top" wrapText="1"/>
    </xf>
    <xf numFmtId="0" fontId="6" fillId="0" borderId="5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>
      <alignment vertical="top" wrapText="1"/>
    </xf>
    <xf numFmtId="0" fontId="8" fillId="0" borderId="0" xfId="0" applyFont="1" applyFill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6"/>
  <sheetViews>
    <sheetView tabSelected="1" zoomScale="90" zoomScaleNormal="90" workbookViewId="0">
      <pane xSplit="1" ySplit="5" topLeftCell="B134" activePane="bottomRight" state="frozen"/>
      <selection pane="topRight" activeCell="B1" sqref="B1"/>
      <selection pane="bottomLeft" activeCell="A7" sqref="A7"/>
      <selection pane="bottomRight" sqref="A1:N1"/>
    </sheetView>
  </sheetViews>
  <sheetFormatPr defaultRowHeight="12.75" outlineLevelRow="1" x14ac:dyDescent="0.2"/>
  <cols>
    <col min="1" max="1" width="62.1640625" customWidth="1"/>
    <col min="2" max="3" width="9.1640625" customWidth="1"/>
    <col min="4" max="4" width="17.1640625" customWidth="1"/>
    <col min="5" max="5" width="7.6640625" customWidth="1"/>
    <col min="6" max="6" width="19.1640625" customWidth="1"/>
    <col min="7" max="7" width="17" customWidth="1"/>
    <col min="8" max="8" width="19.1640625" customWidth="1"/>
    <col min="9" max="9" width="17.6640625" customWidth="1"/>
    <col min="10" max="10" width="15.1640625" customWidth="1"/>
    <col min="11" max="11" width="19.83203125" customWidth="1"/>
    <col min="12" max="12" width="17.6640625" customWidth="1"/>
    <col min="13" max="13" width="16" customWidth="1"/>
    <col min="14" max="14" width="19.5" customWidth="1"/>
    <col min="15" max="15" width="31" customWidth="1"/>
  </cols>
  <sheetData>
    <row r="1" spans="1:14" ht="42.2" customHeight="1" x14ac:dyDescent="0.2">
      <c r="A1" s="68" t="s">
        <v>264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40.5" customHeight="1" x14ac:dyDescent="0.2">
      <c r="A2" s="70" t="s">
        <v>263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" customHeight="1" x14ac:dyDescent="0.2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42.75" customHeight="1" x14ac:dyDescent="0.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>
        <v>2021</v>
      </c>
      <c r="G4" s="10" t="s">
        <v>243</v>
      </c>
      <c r="H4" s="11" t="s">
        <v>244</v>
      </c>
      <c r="I4" s="9">
        <v>2022</v>
      </c>
      <c r="J4" s="10" t="s">
        <v>243</v>
      </c>
      <c r="K4" s="11" t="s">
        <v>245</v>
      </c>
      <c r="L4" s="9">
        <v>2023</v>
      </c>
      <c r="M4" s="10" t="s">
        <v>243</v>
      </c>
      <c r="N4" s="11" t="s">
        <v>246</v>
      </c>
    </row>
    <row r="5" spans="1:14" s="50" customFormat="1" ht="19.5" customHeight="1" x14ac:dyDescent="0.2">
      <c r="A5" s="64" t="s">
        <v>7</v>
      </c>
      <c r="B5" s="65" t="s">
        <v>0</v>
      </c>
      <c r="C5" s="65" t="s">
        <v>0</v>
      </c>
      <c r="D5" s="65" t="s">
        <v>0</v>
      </c>
      <c r="E5" s="65" t="s">
        <v>0</v>
      </c>
      <c r="F5" s="66">
        <f t="shared" ref="F5:N5" si="0">F6+F74+F101+F137+F209+F214+F219+F254+F259+F265</f>
        <v>979643505.02999985</v>
      </c>
      <c r="G5" s="66">
        <f t="shared" si="0"/>
        <v>94185062.019999996</v>
      </c>
      <c r="H5" s="66">
        <f t="shared" si="0"/>
        <v>1073828567.05</v>
      </c>
      <c r="I5" s="66">
        <f t="shared" si="0"/>
        <v>567867692.81000006</v>
      </c>
      <c r="J5" s="66">
        <f t="shared" si="0"/>
        <v>0</v>
      </c>
      <c r="K5" s="66">
        <f t="shared" si="0"/>
        <v>567867692.81000006</v>
      </c>
      <c r="L5" s="66">
        <f t="shared" si="0"/>
        <v>585204403.63</v>
      </c>
      <c r="M5" s="66">
        <f t="shared" si="0"/>
        <v>0</v>
      </c>
      <c r="N5" s="66">
        <f t="shared" si="0"/>
        <v>585204403.63</v>
      </c>
    </row>
    <row r="6" spans="1:14" s="50" customFormat="1" ht="17.25" customHeight="1" x14ac:dyDescent="0.2">
      <c r="A6" s="47" t="s">
        <v>220</v>
      </c>
      <c r="B6" s="48" t="s">
        <v>8</v>
      </c>
      <c r="C6" s="48" t="s">
        <v>0</v>
      </c>
      <c r="D6" s="48" t="s">
        <v>0</v>
      </c>
      <c r="E6" s="48" t="s">
        <v>0</v>
      </c>
      <c r="F6" s="49">
        <f>F7+F12+F21+F34+F41+F48</f>
        <v>189273071.30000001</v>
      </c>
      <c r="G6" s="49">
        <f>G7+G12+G21+G34+G41+G48</f>
        <v>1823923.63</v>
      </c>
      <c r="H6" s="49">
        <f>H7+H12+H21+H34+H41+H48</f>
        <v>191096994.93000001</v>
      </c>
      <c r="I6" s="49">
        <f t="shared" ref="I6:L6" si="1">I7+I12+I21+I34+I41+I48</f>
        <v>207173475.07000002</v>
      </c>
      <c r="J6" s="49">
        <f>J7+J12+J21+J34+J41+J48</f>
        <v>0</v>
      </c>
      <c r="K6" s="49">
        <f>K7+K12+K21+K34+K41+K48</f>
        <v>207173475.07000002</v>
      </c>
      <c r="L6" s="49">
        <f t="shared" si="1"/>
        <v>228159815.69999999</v>
      </c>
      <c r="M6" s="49">
        <f>M7+M12+M21+M34+M41+M48</f>
        <v>0</v>
      </c>
      <c r="N6" s="49">
        <f>N7+N12+N21+N34+N41+N48</f>
        <v>228159815.69999999</v>
      </c>
    </row>
    <row r="7" spans="1:14" s="50" customFormat="1" ht="25.5" x14ac:dyDescent="0.2">
      <c r="A7" s="51" t="s">
        <v>23</v>
      </c>
      <c r="B7" s="52" t="s">
        <v>8</v>
      </c>
      <c r="C7" s="52" t="s">
        <v>24</v>
      </c>
      <c r="D7" s="52" t="s">
        <v>0</v>
      </c>
      <c r="E7" s="52" t="s">
        <v>0</v>
      </c>
      <c r="F7" s="53">
        <f t="shared" ref="F7:N10" si="2">F8</f>
        <v>7025404</v>
      </c>
      <c r="G7" s="53">
        <f t="shared" si="2"/>
        <v>0</v>
      </c>
      <c r="H7" s="53">
        <f t="shared" si="2"/>
        <v>7025404</v>
      </c>
      <c r="I7" s="53">
        <f t="shared" si="2"/>
        <v>7278319</v>
      </c>
      <c r="J7" s="53">
        <f t="shared" si="2"/>
        <v>0</v>
      </c>
      <c r="K7" s="53">
        <f t="shared" si="2"/>
        <v>7278319</v>
      </c>
      <c r="L7" s="53">
        <f t="shared" si="2"/>
        <v>7496668</v>
      </c>
      <c r="M7" s="53">
        <f t="shared" si="2"/>
        <v>0</v>
      </c>
      <c r="N7" s="53">
        <f t="shared" si="2"/>
        <v>7496668</v>
      </c>
    </row>
    <row r="8" spans="1:14" s="50" customFormat="1" ht="16.5" customHeight="1" x14ac:dyDescent="0.2">
      <c r="A8" s="26" t="s">
        <v>11</v>
      </c>
      <c r="B8" s="27" t="s">
        <v>8</v>
      </c>
      <c r="C8" s="27" t="s">
        <v>24</v>
      </c>
      <c r="D8" s="27" t="s">
        <v>12</v>
      </c>
      <c r="E8" s="27" t="s">
        <v>0</v>
      </c>
      <c r="F8" s="12">
        <f t="shared" si="2"/>
        <v>7025404</v>
      </c>
      <c r="G8" s="12">
        <f t="shared" si="2"/>
        <v>0</v>
      </c>
      <c r="H8" s="12">
        <f t="shared" si="2"/>
        <v>7025404</v>
      </c>
      <c r="I8" s="12">
        <f t="shared" si="2"/>
        <v>7278319</v>
      </c>
      <c r="J8" s="12">
        <f t="shared" si="2"/>
        <v>0</v>
      </c>
      <c r="K8" s="12">
        <f t="shared" si="2"/>
        <v>7278319</v>
      </c>
      <c r="L8" s="12">
        <f t="shared" si="2"/>
        <v>7496668</v>
      </c>
      <c r="M8" s="12">
        <f t="shared" si="2"/>
        <v>0</v>
      </c>
      <c r="N8" s="12">
        <f t="shared" si="2"/>
        <v>7496668</v>
      </c>
    </row>
    <row r="9" spans="1:14" s="50" customFormat="1" ht="25.5" x14ac:dyDescent="0.2">
      <c r="A9" s="26" t="s">
        <v>13</v>
      </c>
      <c r="B9" s="27" t="s">
        <v>8</v>
      </c>
      <c r="C9" s="27" t="s">
        <v>24</v>
      </c>
      <c r="D9" s="27" t="s">
        <v>14</v>
      </c>
      <c r="E9" s="27" t="s">
        <v>0</v>
      </c>
      <c r="F9" s="12">
        <f t="shared" si="2"/>
        <v>7025404</v>
      </c>
      <c r="G9" s="12">
        <f t="shared" si="2"/>
        <v>0</v>
      </c>
      <c r="H9" s="12">
        <f t="shared" si="2"/>
        <v>7025404</v>
      </c>
      <c r="I9" s="12">
        <f t="shared" si="2"/>
        <v>7278319</v>
      </c>
      <c r="J9" s="12">
        <f t="shared" si="2"/>
        <v>0</v>
      </c>
      <c r="K9" s="12">
        <f t="shared" si="2"/>
        <v>7278319</v>
      </c>
      <c r="L9" s="12">
        <f t="shared" si="2"/>
        <v>7496668</v>
      </c>
      <c r="M9" s="12">
        <f t="shared" si="2"/>
        <v>0</v>
      </c>
      <c r="N9" s="12">
        <f t="shared" si="2"/>
        <v>7496668</v>
      </c>
    </row>
    <row r="10" spans="1:14" s="50" customFormat="1" ht="16.5" customHeight="1" x14ac:dyDescent="0.2">
      <c r="A10" s="29" t="s">
        <v>25</v>
      </c>
      <c r="B10" s="30" t="s">
        <v>8</v>
      </c>
      <c r="C10" s="30" t="s">
        <v>24</v>
      </c>
      <c r="D10" s="30" t="s">
        <v>26</v>
      </c>
      <c r="E10" s="30" t="s">
        <v>0</v>
      </c>
      <c r="F10" s="13">
        <f t="shared" si="2"/>
        <v>7025404</v>
      </c>
      <c r="G10" s="13">
        <f t="shared" si="2"/>
        <v>0</v>
      </c>
      <c r="H10" s="13">
        <f t="shared" si="2"/>
        <v>7025404</v>
      </c>
      <c r="I10" s="13">
        <f t="shared" si="2"/>
        <v>7278319</v>
      </c>
      <c r="J10" s="13">
        <f t="shared" si="2"/>
        <v>0</v>
      </c>
      <c r="K10" s="13">
        <f t="shared" si="2"/>
        <v>7278319</v>
      </c>
      <c r="L10" s="13">
        <f t="shared" si="2"/>
        <v>7496668</v>
      </c>
      <c r="M10" s="13">
        <f t="shared" si="2"/>
        <v>0</v>
      </c>
      <c r="N10" s="13">
        <f t="shared" si="2"/>
        <v>7496668</v>
      </c>
    </row>
    <row r="11" spans="1:14" s="50" customFormat="1" ht="17.25" customHeight="1" x14ac:dyDescent="0.2">
      <c r="A11" s="16" t="s">
        <v>17</v>
      </c>
      <c r="B11" s="31" t="s">
        <v>8</v>
      </c>
      <c r="C11" s="31" t="s">
        <v>24</v>
      </c>
      <c r="D11" s="31" t="s">
        <v>26</v>
      </c>
      <c r="E11" s="31" t="s">
        <v>18</v>
      </c>
      <c r="F11" s="17">
        <f>5379052+21878+1624474</f>
        <v>7025404</v>
      </c>
      <c r="G11" s="17">
        <v>0</v>
      </c>
      <c r="H11" s="17">
        <f>F11+G11</f>
        <v>7025404</v>
      </c>
      <c r="I11" s="17">
        <f>5572698+22666+1682955</f>
        <v>7278319</v>
      </c>
      <c r="J11" s="17">
        <v>0</v>
      </c>
      <c r="K11" s="17">
        <f>I11+J11</f>
        <v>7278319</v>
      </c>
      <c r="L11" s="17">
        <f>5739879+23346+1733443</f>
        <v>7496668</v>
      </c>
      <c r="M11" s="17">
        <v>0</v>
      </c>
      <c r="N11" s="17">
        <f>L11+M11</f>
        <v>7496668</v>
      </c>
    </row>
    <row r="12" spans="1:14" s="50" customFormat="1" ht="38.25" x14ac:dyDescent="0.2">
      <c r="A12" s="54" t="s">
        <v>9</v>
      </c>
      <c r="B12" s="55" t="s">
        <v>8</v>
      </c>
      <c r="C12" s="55" t="s">
        <v>10</v>
      </c>
      <c r="D12" s="55" t="s">
        <v>0</v>
      </c>
      <c r="E12" s="55" t="s">
        <v>0</v>
      </c>
      <c r="F12" s="56">
        <f t="shared" ref="F12:N13" si="3">F13</f>
        <v>4921031</v>
      </c>
      <c r="G12" s="56">
        <f t="shared" si="3"/>
        <v>0</v>
      </c>
      <c r="H12" s="56">
        <f t="shared" si="3"/>
        <v>4921031</v>
      </c>
      <c r="I12" s="56">
        <f t="shared" ref="I12:L13" si="4">I13</f>
        <v>5490919</v>
      </c>
      <c r="J12" s="56">
        <f t="shared" si="3"/>
        <v>0</v>
      </c>
      <c r="K12" s="56">
        <f t="shared" si="3"/>
        <v>5490919</v>
      </c>
      <c r="L12" s="56">
        <f t="shared" si="4"/>
        <v>5629687</v>
      </c>
      <c r="M12" s="56">
        <f t="shared" si="3"/>
        <v>0</v>
      </c>
      <c r="N12" s="56">
        <f t="shared" si="3"/>
        <v>5629687</v>
      </c>
    </row>
    <row r="13" spans="1:14" s="50" customFormat="1" x14ac:dyDescent="0.2">
      <c r="A13" s="54" t="s">
        <v>11</v>
      </c>
      <c r="B13" s="55" t="s">
        <v>8</v>
      </c>
      <c r="C13" s="55" t="s">
        <v>10</v>
      </c>
      <c r="D13" s="55" t="s">
        <v>12</v>
      </c>
      <c r="E13" s="55" t="s">
        <v>0</v>
      </c>
      <c r="F13" s="56">
        <f t="shared" si="3"/>
        <v>4921031</v>
      </c>
      <c r="G13" s="56">
        <f t="shared" si="3"/>
        <v>0</v>
      </c>
      <c r="H13" s="56">
        <f t="shared" si="3"/>
        <v>4921031</v>
      </c>
      <c r="I13" s="56">
        <f t="shared" si="4"/>
        <v>5490919</v>
      </c>
      <c r="J13" s="56">
        <f t="shared" si="3"/>
        <v>0</v>
      </c>
      <c r="K13" s="56">
        <f t="shared" si="3"/>
        <v>5490919</v>
      </c>
      <c r="L13" s="56">
        <f t="shared" si="4"/>
        <v>5629687</v>
      </c>
      <c r="M13" s="56">
        <f t="shared" si="3"/>
        <v>0</v>
      </c>
      <c r="N13" s="56">
        <f t="shared" si="3"/>
        <v>5629687</v>
      </c>
    </row>
    <row r="14" spans="1:14" s="50" customFormat="1" ht="25.5" x14ac:dyDescent="0.2">
      <c r="A14" s="54" t="s">
        <v>13</v>
      </c>
      <c r="B14" s="55" t="s">
        <v>8</v>
      </c>
      <c r="C14" s="55" t="s">
        <v>10</v>
      </c>
      <c r="D14" s="55" t="s">
        <v>14</v>
      </c>
      <c r="E14" s="55" t="s">
        <v>0</v>
      </c>
      <c r="F14" s="56">
        <f t="shared" ref="F14:N14" si="5">F15+F18</f>
        <v>4921031</v>
      </c>
      <c r="G14" s="56">
        <f t="shared" ref="G14:H14" si="6">G15+G18</f>
        <v>0</v>
      </c>
      <c r="H14" s="56">
        <f t="shared" si="6"/>
        <v>4921031</v>
      </c>
      <c r="I14" s="56">
        <f t="shared" si="5"/>
        <v>5490919</v>
      </c>
      <c r="J14" s="56">
        <f t="shared" si="5"/>
        <v>0</v>
      </c>
      <c r="K14" s="56">
        <f t="shared" si="5"/>
        <v>5490919</v>
      </c>
      <c r="L14" s="56">
        <f t="shared" si="5"/>
        <v>5629687</v>
      </c>
      <c r="M14" s="56">
        <f t="shared" si="5"/>
        <v>0</v>
      </c>
      <c r="N14" s="56">
        <f t="shared" si="5"/>
        <v>5629687</v>
      </c>
    </row>
    <row r="15" spans="1:14" s="50" customFormat="1" ht="13.5" x14ac:dyDescent="0.2">
      <c r="A15" s="57" t="s">
        <v>15</v>
      </c>
      <c r="B15" s="58" t="s">
        <v>8</v>
      </c>
      <c r="C15" s="58" t="s">
        <v>10</v>
      </c>
      <c r="D15" s="58" t="s">
        <v>16</v>
      </c>
      <c r="E15" s="58" t="s">
        <v>0</v>
      </c>
      <c r="F15" s="59">
        <f t="shared" ref="F15:N15" si="7">F16+F17</f>
        <v>4349374</v>
      </c>
      <c r="G15" s="59">
        <f t="shared" ref="G15:H15" si="8">G16+G17</f>
        <v>0</v>
      </c>
      <c r="H15" s="59">
        <f t="shared" si="8"/>
        <v>4349374</v>
      </c>
      <c r="I15" s="59">
        <f t="shared" si="7"/>
        <v>4896412</v>
      </c>
      <c r="J15" s="59">
        <f t="shared" si="7"/>
        <v>0</v>
      </c>
      <c r="K15" s="59">
        <f t="shared" si="7"/>
        <v>4896412</v>
      </c>
      <c r="L15" s="59">
        <f t="shared" si="7"/>
        <v>5012648</v>
      </c>
      <c r="M15" s="59">
        <f t="shared" si="7"/>
        <v>0</v>
      </c>
      <c r="N15" s="59">
        <f t="shared" si="7"/>
        <v>5012648</v>
      </c>
    </row>
    <row r="16" spans="1:14" s="50" customFormat="1" x14ac:dyDescent="0.2">
      <c r="A16" s="60" t="s">
        <v>17</v>
      </c>
      <c r="B16" s="61" t="s">
        <v>8</v>
      </c>
      <c r="C16" s="61" t="s">
        <v>10</v>
      </c>
      <c r="D16" s="61" t="s">
        <v>16</v>
      </c>
      <c r="E16" s="61" t="s">
        <v>18</v>
      </c>
      <c r="F16" s="17">
        <f>2997392+29171+3885+169932+98474+1020+905212</f>
        <v>4205086</v>
      </c>
      <c r="G16" s="17">
        <v>0</v>
      </c>
      <c r="H16" s="17">
        <f>F16+G16</f>
        <v>4205086</v>
      </c>
      <c r="I16" s="17">
        <f>3105298+30221+6325+530188+102132+340+937800</f>
        <v>4712304</v>
      </c>
      <c r="J16" s="17">
        <v>0</v>
      </c>
      <c r="K16" s="17">
        <f t="shared" ref="K16:K17" si="9">I16+J16</f>
        <v>4712304</v>
      </c>
      <c r="L16" s="17">
        <f>3198457+31128+4151+551395+105666+965934</f>
        <v>4856731</v>
      </c>
      <c r="M16" s="17">
        <v>0</v>
      </c>
      <c r="N16" s="17">
        <f>L16+M16</f>
        <v>4856731</v>
      </c>
    </row>
    <row r="17" spans="1:14" s="50" customFormat="1" x14ac:dyDescent="0.2">
      <c r="A17" s="60" t="s">
        <v>19</v>
      </c>
      <c r="B17" s="61" t="s">
        <v>8</v>
      </c>
      <c r="C17" s="61" t="s">
        <v>10</v>
      </c>
      <c r="D17" s="61" t="s">
        <v>16</v>
      </c>
      <c r="E17" s="61" t="s">
        <v>20</v>
      </c>
      <c r="F17" s="17">
        <f>9000+11152+35633+88503</f>
        <v>144288</v>
      </c>
      <c r="G17" s="17">
        <v>0</v>
      </c>
      <c r="H17" s="17">
        <f>F17+G17</f>
        <v>144288</v>
      </c>
      <c r="I17" s="17">
        <f>9000+11553+37058+92542+33955</f>
        <v>184108</v>
      </c>
      <c r="J17" s="17">
        <v>0</v>
      </c>
      <c r="K17" s="17">
        <f t="shared" si="9"/>
        <v>184108</v>
      </c>
      <c r="L17" s="17">
        <f>9000+11899+38541+96477</f>
        <v>155917</v>
      </c>
      <c r="M17" s="17">
        <v>0</v>
      </c>
      <c r="N17" s="17">
        <f>L17+M17</f>
        <v>155917</v>
      </c>
    </row>
    <row r="18" spans="1:14" s="50" customFormat="1" ht="27" x14ac:dyDescent="0.2">
      <c r="A18" s="57" t="s">
        <v>21</v>
      </c>
      <c r="B18" s="58" t="s">
        <v>8</v>
      </c>
      <c r="C18" s="58" t="s">
        <v>10</v>
      </c>
      <c r="D18" s="58" t="s">
        <v>22</v>
      </c>
      <c r="E18" s="58" t="s">
        <v>0</v>
      </c>
      <c r="F18" s="59">
        <f t="shared" ref="F18:N18" si="10">F19+F20</f>
        <v>571657</v>
      </c>
      <c r="G18" s="59">
        <f t="shared" ref="G18:H18" si="11">G19+G20</f>
        <v>0</v>
      </c>
      <c r="H18" s="59">
        <f t="shared" si="11"/>
        <v>571657</v>
      </c>
      <c r="I18" s="59">
        <f t="shared" si="10"/>
        <v>594507</v>
      </c>
      <c r="J18" s="59">
        <f t="shared" si="10"/>
        <v>0</v>
      </c>
      <c r="K18" s="59">
        <f t="shared" si="10"/>
        <v>594507</v>
      </c>
      <c r="L18" s="59">
        <f t="shared" si="10"/>
        <v>617039</v>
      </c>
      <c r="M18" s="59">
        <f t="shared" si="10"/>
        <v>0</v>
      </c>
      <c r="N18" s="59">
        <f t="shared" si="10"/>
        <v>617039</v>
      </c>
    </row>
    <row r="19" spans="1:14" s="50" customFormat="1" x14ac:dyDescent="0.2">
      <c r="A19" s="60" t="s">
        <v>17</v>
      </c>
      <c r="B19" s="61" t="s">
        <v>8</v>
      </c>
      <c r="C19" s="61" t="s">
        <v>10</v>
      </c>
      <c r="D19" s="61" t="s">
        <v>22</v>
      </c>
      <c r="E19" s="61" t="s">
        <v>18</v>
      </c>
      <c r="F19" s="17">
        <v>490465</v>
      </c>
      <c r="G19" s="17">
        <v>0</v>
      </c>
      <c r="H19" s="17">
        <f>F19+G19</f>
        <v>490465</v>
      </c>
      <c r="I19" s="17">
        <v>508687</v>
      </c>
      <c r="J19" s="17">
        <v>0</v>
      </c>
      <c r="K19" s="17">
        <f t="shared" ref="K19:K20" si="12">I19+J19</f>
        <v>508687</v>
      </c>
      <c r="L19" s="17">
        <v>526327</v>
      </c>
      <c r="M19" s="17">
        <v>0</v>
      </c>
      <c r="N19" s="17">
        <f>L19+M19</f>
        <v>526327</v>
      </c>
    </row>
    <row r="20" spans="1:14" s="50" customFormat="1" x14ac:dyDescent="0.2">
      <c r="A20" s="60" t="s">
        <v>19</v>
      </c>
      <c r="B20" s="61" t="s">
        <v>8</v>
      </c>
      <c r="C20" s="61" t="s">
        <v>10</v>
      </c>
      <c r="D20" s="61" t="s">
        <v>22</v>
      </c>
      <c r="E20" s="61" t="s">
        <v>20</v>
      </c>
      <c r="F20" s="17">
        <v>81192</v>
      </c>
      <c r="G20" s="17">
        <v>0</v>
      </c>
      <c r="H20" s="17">
        <f>F20+G20</f>
        <v>81192</v>
      </c>
      <c r="I20" s="17">
        <v>85820</v>
      </c>
      <c r="J20" s="17">
        <v>0</v>
      </c>
      <c r="K20" s="17">
        <f t="shared" si="12"/>
        <v>85820</v>
      </c>
      <c r="L20" s="17">
        <v>90712</v>
      </c>
      <c r="M20" s="17">
        <v>0</v>
      </c>
      <c r="N20" s="17">
        <f>L20+M20</f>
        <v>90712</v>
      </c>
    </row>
    <row r="21" spans="1:14" s="15" customFormat="1" ht="38.25" x14ac:dyDescent="0.2">
      <c r="A21" s="26" t="s">
        <v>27</v>
      </c>
      <c r="B21" s="27" t="s">
        <v>8</v>
      </c>
      <c r="C21" s="27" t="s">
        <v>28</v>
      </c>
      <c r="D21" s="27" t="s">
        <v>0</v>
      </c>
      <c r="E21" s="27" t="s">
        <v>0</v>
      </c>
      <c r="F21" s="12">
        <f t="shared" ref="F21:N21" si="13">F22+F27</f>
        <v>150718421.30000001</v>
      </c>
      <c r="G21" s="12">
        <f t="shared" si="13"/>
        <v>425840.63</v>
      </c>
      <c r="H21" s="12">
        <f t="shared" ref="H21" si="14">H22+H27</f>
        <v>151144261.93000001</v>
      </c>
      <c r="I21" s="12">
        <f t="shared" si="13"/>
        <v>154829738.54000002</v>
      </c>
      <c r="J21" s="12">
        <f t="shared" si="13"/>
        <v>0</v>
      </c>
      <c r="K21" s="12">
        <f t="shared" si="13"/>
        <v>154829738.54000002</v>
      </c>
      <c r="L21" s="12">
        <f t="shared" si="13"/>
        <v>158167517.53999999</v>
      </c>
      <c r="M21" s="12">
        <f t="shared" si="13"/>
        <v>0</v>
      </c>
      <c r="N21" s="12">
        <f t="shared" si="13"/>
        <v>158167517.53999999</v>
      </c>
    </row>
    <row r="22" spans="1:14" s="15" customFormat="1" x14ac:dyDescent="0.2">
      <c r="A22" s="26" t="s">
        <v>29</v>
      </c>
      <c r="B22" s="27" t="s">
        <v>8</v>
      </c>
      <c r="C22" s="27" t="s">
        <v>28</v>
      </c>
      <c r="D22" s="27" t="s">
        <v>30</v>
      </c>
      <c r="E22" s="27" t="s">
        <v>0</v>
      </c>
      <c r="F22" s="12">
        <f t="shared" ref="F22:N23" si="15">F23</f>
        <v>998767</v>
      </c>
      <c r="G22" s="12">
        <f t="shared" si="15"/>
        <v>0</v>
      </c>
      <c r="H22" s="12">
        <f t="shared" si="15"/>
        <v>998767</v>
      </c>
      <c r="I22" s="12">
        <f t="shared" ref="I22:L23" si="16">I23</f>
        <v>1034182</v>
      </c>
      <c r="J22" s="12">
        <f t="shared" si="15"/>
        <v>0</v>
      </c>
      <c r="K22" s="12">
        <f t="shared" si="15"/>
        <v>1034182</v>
      </c>
      <c r="L22" s="12">
        <f t="shared" si="16"/>
        <v>1028192</v>
      </c>
      <c r="M22" s="12">
        <f t="shared" si="15"/>
        <v>0</v>
      </c>
      <c r="N22" s="12">
        <f t="shared" si="15"/>
        <v>1028192</v>
      </c>
    </row>
    <row r="23" spans="1:14" s="15" customFormat="1" x14ac:dyDescent="0.2">
      <c r="A23" s="26" t="s">
        <v>31</v>
      </c>
      <c r="B23" s="27" t="s">
        <v>8</v>
      </c>
      <c r="C23" s="27" t="s">
        <v>28</v>
      </c>
      <c r="D23" s="27" t="s">
        <v>32</v>
      </c>
      <c r="E23" s="27" t="s">
        <v>0</v>
      </c>
      <c r="F23" s="12">
        <f t="shared" si="15"/>
        <v>998767</v>
      </c>
      <c r="G23" s="12">
        <f t="shared" si="15"/>
        <v>0</v>
      </c>
      <c r="H23" s="12">
        <f t="shared" si="15"/>
        <v>998767</v>
      </c>
      <c r="I23" s="12">
        <f t="shared" si="16"/>
        <v>1034182</v>
      </c>
      <c r="J23" s="12">
        <f t="shared" si="15"/>
        <v>0</v>
      </c>
      <c r="K23" s="12">
        <f t="shared" si="15"/>
        <v>1034182</v>
      </c>
      <c r="L23" s="12">
        <f t="shared" si="16"/>
        <v>1028192</v>
      </c>
      <c r="M23" s="12">
        <f t="shared" si="15"/>
        <v>0</v>
      </c>
      <c r="N23" s="12">
        <f t="shared" si="15"/>
        <v>1028192</v>
      </c>
    </row>
    <row r="24" spans="1:14" s="15" customFormat="1" ht="27" x14ac:dyDescent="0.2">
      <c r="A24" s="29" t="s">
        <v>33</v>
      </c>
      <c r="B24" s="30" t="s">
        <v>8</v>
      </c>
      <c r="C24" s="30" t="s">
        <v>28</v>
      </c>
      <c r="D24" s="30" t="s">
        <v>34</v>
      </c>
      <c r="E24" s="30" t="s">
        <v>0</v>
      </c>
      <c r="F24" s="13">
        <f t="shared" ref="F24:N24" si="17">F25+F26</f>
        <v>998767</v>
      </c>
      <c r="G24" s="13">
        <f t="shared" ref="G24:H24" si="18">G25+G26</f>
        <v>0</v>
      </c>
      <c r="H24" s="13">
        <f t="shared" si="18"/>
        <v>998767</v>
      </c>
      <c r="I24" s="13">
        <f t="shared" si="17"/>
        <v>1034182</v>
      </c>
      <c r="J24" s="13">
        <f t="shared" si="17"/>
        <v>0</v>
      </c>
      <c r="K24" s="13">
        <f t="shared" si="17"/>
        <v>1034182</v>
      </c>
      <c r="L24" s="13">
        <f t="shared" si="17"/>
        <v>1028192</v>
      </c>
      <c r="M24" s="13">
        <f t="shared" si="17"/>
        <v>0</v>
      </c>
      <c r="N24" s="13">
        <f t="shared" si="17"/>
        <v>1028192</v>
      </c>
    </row>
    <row r="25" spans="1:14" s="15" customFormat="1" x14ac:dyDescent="0.2">
      <c r="A25" s="16" t="s">
        <v>17</v>
      </c>
      <c r="B25" s="31" t="s">
        <v>8</v>
      </c>
      <c r="C25" s="31" t="s">
        <v>28</v>
      </c>
      <c r="D25" s="31" t="s">
        <v>34</v>
      </c>
      <c r="E25" s="31" t="s">
        <v>18</v>
      </c>
      <c r="F25" s="17">
        <f>31047+683548</f>
        <v>714595</v>
      </c>
      <c r="G25" s="17">
        <v>0</v>
      </c>
      <c r="H25" s="17">
        <f>F25+G25</f>
        <v>714595</v>
      </c>
      <c r="I25" s="17">
        <f>31624+708156</f>
        <v>739780</v>
      </c>
      <c r="J25" s="17">
        <v>0</v>
      </c>
      <c r="K25" s="17">
        <f t="shared" ref="K25:K26" si="19">I25+J25</f>
        <v>739780</v>
      </c>
      <c r="L25" s="17">
        <f>31441+704054</f>
        <v>735495</v>
      </c>
      <c r="M25" s="17">
        <v>0</v>
      </c>
      <c r="N25" s="17">
        <f>L25+M25</f>
        <v>735495</v>
      </c>
    </row>
    <row r="26" spans="1:14" s="15" customFormat="1" x14ac:dyDescent="0.2">
      <c r="A26" s="16" t="s">
        <v>19</v>
      </c>
      <c r="B26" s="31" t="s">
        <v>8</v>
      </c>
      <c r="C26" s="31" t="s">
        <v>28</v>
      </c>
      <c r="D26" s="31" t="s">
        <v>34</v>
      </c>
      <c r="E26" s="31" t="s">
        <v>20</v>
      </c>
      <c r="F26" s="17">
        <v>284172</v>
      </c>
      <c r="G26" s="17">
        <v>0</v>
      </c>
      <c r="H26" s="17">
        <f>F26+G26</f>
        <v>284172</v>
      </c>
      <c r="I26" s="17">
        <v>294402</v>
      </c>
      <c r="J26" s="17">
        <v>0</v>
      </c>
      <c r="K26" s="17">
        <f t="shared" si="19"/>
        <v>294402</v>
      </c>
      <c r="L26" s="17">
        <v>292697</v>
      </c>
      <c r="M26" s="17">
        <v>0</v>
      </c>
      <c r="N26" s="17">
        <f>L26+M26</f>
        <v>292697</v>
      </c>
    </row>
    <row r="27" spans="1:14" s="15" customFormat="1" x14ac:dyDescent="0.2">
      <c r="A27" s="26" t="s">
        <v>11</v>
      </c>
      <c r="B27" s="27" t="s">
        <v>8</v>
      </c>
      <c r="C27" s="27" t="s">
        <v>28</v>
      </c>
      <c r="D27" s="27" t="s">
        <v>12</v>
      </c>
      <c r="E27" s="27" t="s">
        <v>0</v>
      </c>
      <c r="F27" s="12">
        <f t="shared" ref="F27:N28" si="20">F28</f>
        <v>149719654.30000001</v>
      </c>
      <c r="G27" s="12">
        <f t="shared" si="20"/>
        <v>425840.63</v>
      </c>
      <c r="H27" s="12">
        <f t="shared" si="20"/>
        <v>150145494.93000001</v>
      </c>
      <c r="I27" s="12">
        <f t="shared" ref="I27:L28" si="21">I28</f>
        <v>153795556.54000002</v>
      </c>
      <c r="J27" s="12">
        <f t="shared" si="20"/>
        <v>0</v>
      </c>
      <c r="K27" s="12">
        <f t="shared" si="20"/>
        <v>153795556.54000002</v>
      </c>
      <c r="L27" s="12">
        <f t="shared" si="21"/>
        <v>157139325.53999999</v>
      </c>
      <c r="M27" s="12">
        <f t="shared" si="20"/>
        <v>0</v>
      </c>
      <c r="N27" s="12">
        <f t="shared" si="20"/>
        <v>157139325.53999999</v>
      </c>
    </row>
    <row r="28" spans="1:14" s="15" customFormat="1" ht="25.5" x14ac:dyDescent="0.2">
      <c r="A28" s="26" t="s">
        <v>13</v>
      </c>
      <c r="B28" s="27" t="s">
        <v>8</v>
      </c>
      <c r="C28" s="27" t="s">
        <v>28</v>
      </c>
      <c r="D28" s="27" t="s">
        <v>14</v>
      </c>
      <c r="E28" s="27" t="s">
        <v>0</v>
      </c>
      <c r="F28" s="12">
        <f t="shared" si="20"/>
        <v>149719654.30000001</v>
      </c>
      <c r="G28" s="12">
        <f t="shared" si="20"/>
        <v>425840.63</v>
      </c>
      <c r="H28" s="12">
        <f t="shared" si="20"/>
        <v>150145494.93000001</v>
      </c>
      <c r="I28" s="12">
        <f t="shared" si="21"/>
        <v>153795556.54000002</v>
      </c>
      <c r="J28" s="12">
        <f t="shared" si="20"/>
        <v>0</v>
      </c>
      <c r="K28" s="12">
        <f t="shared" si="20"/>
        <v>153795556.54000002</v>
      </c>
      <c r="L28" s="12">
        <f t="shared" si="21"/>
        <v>157139325.53999999</v>
      </c>
      <c r="M28" s="12">
        <f t="shared" si="20"/>
        <v>0</v>
      </c>
      <c r="N28" s="12">
        <f t="shared" si="20"/>
        <v>157139325.53999999</v>
      </c>
    </row>
    <row r="29" spans="1:14" s="15" customFormat="1" ht="13.5" x14ac:dyDescent="0.2">
      <c r="A29" s="29" t="s">
        <v>15</v>
      </c>
      <c r="B29" s="30" t="s">
        <v>8</v>
      </c>
      <c r="C29" s="30" t="s">
        <v>28</v>
      </c>
      <c r="D29" s="30" t="s">
        <v>16</v>
      </c>
      <c r="E29" s="30" t="s">
        <v>0</v>
      </c>
      <c r="F29" s="13">
        <f t="shared" ref="F29:N29" si="22">F30+F31+F32+F33</f>
        <v>149719654.30000001</v>
      </c>
      <c r="G29" s="13">
        <f t="shared" si="22"/>
        <v>425840.63</v>
      </c>
      <c r="H29" s="13">
        <f t="shared" ref="H29" si="23">H30+H31+H32+H33</f>
        <v>150145494.93000001</v>
      </c>
      <c r="I29" s="13">
        <f t="shared" si="22"/>
        <v>153795556.54000002</v>
      </c>
      <c r="J29" s="13">
        <f t="shared" si="22"/>
        <v>0</v>
      </c>
      <c r="K29" s="13">
        <f t="shared" si="22"/>
        <v>153795556.54000002</v>
      </c>
      <c r="L29" s="13">
        <f t="shared" si="22"/>
        <v>157139325.53999999</v>
      </c>
      <c r="M29" s="13">
        <f t="shared" si="22"/>
        <v>0</v>
      </c>
      <c r="N29" s="13">
        <f t="shared" si="22"/>
        <v>157139325.53999999</v>
      </c>
    </row>
    <row r="30" spans="1:14" s="15" customFormat="1" x14ac:dyDescent="0.2">
      <c r="A30" s="16" t="s">
        <v>17</v>
      </c>
      <c r="B30" s="31" t="s">
        <v>8</v>
      </c>
      <c r="C30" s="31" t="s">
        <v>28</v>
      </c>
      <c r="D30" s="31" t="s">
        <v>16</v>
      </c>
      <c r="E30" s="31" t="s">
        <v>18</v>
      </c>
      <c r="F30" s="17">
        <f>125855775-0.46</f>
        <v>125855774.54000001</v>
      </c>
      <c r="G30" s="14">
        <v>0</v>
      </c>
      <c r="H30" s="17">
        <f>F30+G30</f>
        <v>125855774.54000001</v>
      </c>
      <c r="I30" s="17">
        <f>130311773-0.46</f>
        <v>130311772.54000001</v>
      </c>
      <c r="J30" s="17">
        <v>0</v>
      </c>
      <c r="K30" s="17">
        <f t="shared" ref="K30:K33" si="24">I30+J30</f>
        <v>130311772.54000001</v>
      </c>
      <c r="L30" s="17">
        <f>134220961-0.46</f>
        <v>134220960.53999999</v>
      </c>
      <c r="M30" s="17">
        <v>0</v>
      </c>
      <c r="N30" s="17">
        <f>L30+M30</f>
        <v>134220960.53999999</v>
      </c>
    </row>
    <row r="31" spans="1:14" s="15" customFormat="1" x14ac:dyDescent="0.2">
      <c r="A31" s="16" t="s">
        <v>19</v>
      </c>
      <c r="B31" s="31" t="s">
        <v>8</v>
      </c>
      <c r="C31" s="31" t="s">
        <v>28</v>
      </c>
      <c r="D31" s="31" t="s">
        <v>16</v>
      </c>
      <c r="E31" s="31" t="s">
        <v>20</v>
      </c>
      <c r="F31" s="17">
        <v>23014254.760000002</v>
      </c>
      <c r="G31" s="14">
        <v>425840.63</v>
      </c>
      <c r="H31" s="17">
        <f>F31+G31</f>
        <v>23440095.390000001</v>
      </c>
      <c r="I31" s="17">
        <v>22634159</v>
      </c>
      <c r="J31" s="17">
        <v>0</v>
      </c>
      <c r="K31" s="17">
        <f t="shared" si="24"/>
        <v>22634159</v>
      </c>
      <c r="L31" s="17">
        <v>22068740</v>
      </c>
      <c r="M31" s="17">
        <v>0</v>
      </c>
      <c r="N31" s="17">
        <f>L31+M31</f>
        <v>22068740</v>
      </c>
    </row>
    <row r="32" spans="1:14" s="15" customFormat="1" ht="24.75" hidden="1" customHeight="1" outlineLevel="1" x14ac:dyDescent="0.2">
      <c r="A32" s="16" t="s">
        <v>262</v>
      </c>
      <c r="B32" s="31" t="s">
        <v>8</v>
      </c>
      <c r="C32" s="31" t="s">
        <v>28</v>
      </c>
      <c r="D32" s="31" t="s">
        <v>16</v>
      </c>
      <c r="E32" s="31" t="s">
        <v>35</v>
      </c>
      <c r="F32" s="17">
        <v>0</v>
      </c>
      <c r="G32" s="17">
        <v>0</v>
      </c>
      <c r="H32" s="17">
        <f>F32+G32</f>
        <v>0</v>
      </c>
      <c r="I32" s="17">
        <v>0</v>
      </c>
      <c r="J32" s="17">
        <v>0</v>
      </c>
      <c r="K32" s="17">
        <f t="shared" si="24"/>
        <v>0</v>
      </c>
      <c r="L32" s="17">
        <v>0</v>
      </c>
      <c r="M32" s="17">
        <v>0</v>
      </c>
      <c r="N32" s="17">
        <f>L32+M32</f>
        <v>0</v>
      </c>
    </row>
    <row r="33" spans="1:14" s="15" customFormat="1" collapsed="1" x14ac:dyDescent="0.2">
      <c r="A33" s="16" t="s">
        <v>36</v>
      </c>
      <c r="B33" s="31" t="s">
        <v>8</v>
      </c>
      <c r="C33" s="31" t="s">
        <v>28</v>
      </c>
      <c r="D33" s="31" t="s">
        <v>16</v>
      </c>
      <c r="E33" s="31" t="s">
        <v>37</v>
      </c>
      <c r="F33" s="17">
        <v>849625</v>
      </c>
      <c r="G33" s="17">
        <v>0</v>
      </c>
      <c r="H33" s="17">
        <f>F33+G33</f>
        <v>849625</v>
      </c>
      <c r="I33" s="17">
        <v>849625</v>
      </c>
      <c r="J33" s="17">
        <v>0</v>
      </c>
      <c r="K33" s="17">
        <f t="shared" si="24"/>
        <v>849625</v>
      </c>
      <c r="L33" s="17">
        <v>849625</v>
      </c>
      <c r="M33" s="17">
        <v>0</v>
      </c>
      <c r="N33" s="17">
        <f>L33+M33</f>
        <v>849625</v>
      </c>
    </row>
    <row r="34" spans="1:14" s="15" customFormat="1" ht="38.25" x14ac:dyDescent="0.2">
      <c r="A34" s="26" t="s">
        <v>147</v>
      </c>
      <c r="B34" s="27" t="s">
        <v>8</v>
      </c>
      <c r="C34" s="27" t="s">
        <v>148</v>
      </c>
      <c r="D34" s="27" t="s">
        <v>0</v>
      </c>
      <c r="E34" s="27" t="s">
        <v>0</v>
      </c>
      <c r="F34" s="12">
        <f t="shared" ref="F34:N36" si="25">F35</f>
        <v>4927986</v>
      </c>
      <c r="G34" s="12">
        <f t="shared" si="25"/>
        <v>0</v>
      </c>
      <c r="H34" s="12">
        <f t="shared" si="25"/>
        <v>4927986</v>
      </c>
      <c r="I34" s="12">
        <f t="shared" si="25"/>
        <v>5046893</v>
      </c>
      <c r="J34" s="12">
        <f t="shared" si="25"/>
        <v>0</v>
      </c>
      <c r="K34" s="12">
        <f t="shared" si="25"/>
        <v>5046893</v>
      </c>
      <c r="L34" s="12">
        <f t="shared" si="25"/>
        <v>5260498</v>
      </c>
      <c r="M34" s="12">
        <f t="shared" si="25"/>
        <v>0</v>
      </c>
      <c r="N34" s="12">
        <f t="shared" si="25"/>
        <v>5260498</v>
      </c>
    </row>
    <row r="35" spans="1:14" s="15" customFormat="1" x14ac:dyDescent="0.2">
      <c r="A35" s="26" t="s">
        <v>11</v>
      </c>
      <c r="B35" s="27" t="s">
        <v>8</v>
      </c>
      <c r="C35" s="27" t="s">
        <v>148</v>
      </c>
      <c r="D35" s="27" t="s">
        <v>12</v>
      </c>
      <c r="E35" s="27" t="s">
        <v>0</v>
      </c>
      <c r="F35" s="12">
        <f t="shared" si="25"/>
        <v>4927986</v>
      </c>
      <c r="G35" s="12">
        <f t="shared" si="25"/>
        <v>0</v>
      </c>
      <c r="H35" s="12">
        <f t="shared" si="25"/>
        <v>4927986</v>
      </c>
      <c r="I35" s="12">
        <f t="shared" si="25"/>
        <v>5046893</v>
      </c>
      <c r="J35" s="12">
        <f t="shared" si="25"/>
        <v>0</v>
      </c>
      <c r="K35" s="12">
        <f t="shared" si="25"/>
        <v>5046893</v>
      </c>
      <c r="L35" s="12">
        <f t="shared" si="25"/>
        <v>5260498</v>
      </c>
      <c r="M35" s="12">
        <f t="shared" si="25"/>
        <v>0</v>
      </c>
      <c r="N35" s="12">
        <f t="shared" si="25"/>
        <v>5260498</v>
      </c>
    </row>
    <row r="36" spans="1:14" s="15" customFormat="1" ht="25.5" x14ac:dyDescent="0.2">
      <c r="A36" s="26" t="s">
        <v>13</v>
      </c>
      <c r="B36" s="27" t="s">
        <v>8</v>
      </c>
      <c r="C36" s="27" t="s">
        <v>148</v>
      </c>
      <c r="D36" s="27" t="s">
        <v>14</v>
      </c>
      <c r="E36" s="27" t="s">
        <v>0</v>
      </c>
      <c r="F36" s="12">
        <f t="shared" si="25"/>
        <v>4927986</v>
      </c>
      <c r="G36" s="12">
        <f t="shared" si="25"/>
        <v>0</v>
      </c>
      <c r="H36" s="12">
        <f t="shared" si="25"/>
        <v>4927986</v>
      </c>
      <c r="I36" s="12">
        <f t="shared" si="25"/>
        <v>5046893</v>
      </c>
      <c r="J36" s="12">
        <f t="shared" si="25"/>
        <v>0</v>
      </c>
      <c r="K36" s="12">
        <f t="shared" si="25"/>
        <v>5046893</v>
      </c>
      <c r="L36" s="12">
        <f t="shared" si="25"/>
        <v>5260498</v>
      </c>
      <c r="M36" s="12">
        <f t="shared" si="25"/>
        <v>0</v>
      </c>
      <c r="N36" s="12">
        <f t="shared" si="25"/>
        <v>5260498</v>
      </c>
    </row>
    <row r="37" spans="1:14" s="15" customFormat="1" ht="27" x14ac:dyDescent="0.2">
      <c r="A37" s="29" t="s">
        <v>149</v>
      </c>
      <c r="B37" s="30" t="s">
        <v>8</v>
      </c>
      <c r="C37" s="30" t="s">
        <v>148</v>
      </c>
      <c r="D37" s="30" t="s">
        <v>150</v>
      </c>
      <c r="E37" s="30" t="s">
        <v>0</v>
      </c>
      <c r="F37" s="13">
        <f t="shared" ref="F37:N37" si="26">F38+F39+F40</f>
        <v>4927986</v>
      </c>
      <c r="G37" s="13">
        <f t="shared" si="26"/>
        <v>0</v>
      </c>
      <c r="H37" s="13">
        <f t="shared" si="26"/>
        <v>4927986</v>
      </c>
      <c r="I37" s="13">
        <f t="shared" si="26"/>
        <v>5046893</v>
      </c>
      <c r="J37" s="13">
        <f t="shared" si="26"/>
        <v>0</v>
      </c>
      <c r="K37" s="13">
        <f t="shared" si="26"/>
        <v>5046893</v>
      </c>
      <c r="L37" s="13">
        <f t="shared" si="26"/>
        <v>5260498</v>
      </c>
      <c r="M37" s="13">
        <f t="shared" si="26"/>
        <v>0</v>
      </c>
      <c r="N37" s="13">
        <f t="shared" si="26"/>
        <v>5260498</v>
      </c>
    </row>
    <row r="38" spans="1:14" s="15" customFormat="1" x14ac:dyDescent="0.2">
      <c r="A38" s="16" t="s">
        <v>17</v>
      </c>
      <c r="B38" s="31" t="s">
        <v>8</v>
      </c>
      <c r="C38" s="31" t="s">
        <v>148</v>
      </c>
      <c r="D38" s="31" t="s">
        <v>150</v>
      </c>
      <c r="E38" s="31" t="s">
        <v>18</v>
      </c>
      <c r="F38" s="17">
        <f>3457825+5550+56644+137068+1044263</f>
        <v>4701350</v>
      </c>
      <c r="G38" s="17">
        <v>0</v>
      </c>
      <c r="H38" s="17">
        <f>F38+G38</f>
        <v>4701350</v>
      </c>
      <c r="I38" s="17">
        <f>3582307+5750+143005+1081856</f>
        <v>4812918</v>
      </c>
      <c r="J38" s="17">
        <v>0</v>
      </c>
      <c r="K38" s="17">
        <f t="shared" ref="K38:K40" si="27">I38+J38</f>
        <v>4812918</v>
      </c>
      <c r="L38" s="17">
        <f>3689776+5930+61030+149113+1114312</f>
        <v>5020161</v>
      </c>
      <c r="M38" s="17">
        <v>0</v>
      </c>
      <c r="N38" s="17">
        <f>L38+M38</f>
        <v>5020161</v>
      </c>
    </row>
    <row r="39" spans="1:14" s="15" customFormat="1" x14ac:dyDescent="0.2">
      <c r="A39" s="16" t="s">
        <v>19</v>
      </c>
      <c r="B39" s="31" t="s">
        <v>8</v>
      </c>
      <c r="C39" s="31" t="s">
        <v>148</v>
      </c>
      <c r="D39" s="31" t="s">
        <v>150</v>
      </c>
      <c r="E39" s="31" t="s">
        <v>20</v>
      </c>
      <c r="F39" s="17">
        <f>24000+6200+184996</f>
        <v>215196</v>
      </c>
      <c r="G39" s="17">
        <v>0</v>
      </c>
      <c r="H39" s="17">
        <f>F39+G39</f>
        <v>215196</v>
      </c>
      <c r="I39" s="17">
        <f>24000+6423+191700</f>
        <v>222123</v>
      </c>
      <c r="J39" s="17">
        <v>0</v>
      </c>
      <c r="K39" s="17">
        <f t="shared" si="27"/>
        <v>222123</v>
      </c>
      <c r="L39" s="17">
        <f>24000+6616+197514</f>
        <v>228130</v>
      </c>
      <c r="M39" s="17">
        <v>0</v>
      </c>
      <c r="N39" s="17">
        <f>L39+M39</f>
        <v>228130</v>
      </c>
    </row>
    <row r="40" spans="1:14" s="15" customFormat="1" x14ac:dyDescent="0.2">
      <c r="A40" s="16" t="s">
        <v>36</v>
      </c>
      <c r="B40" s="31" t="s">
        <v>8</v>
      </c>
      <c r="C40" s="31" t="s">
        <v>148</v>
      </c>
      <c r="D40" s="31" t="s">
        <v>150</v>
      </c>
      <c r="E40" s="31" t="s">
        <v>37</v>
      </c>
      <c r="F40" s="17">
        <v>11440</v>
      </c>
      <c r="G40" s="17">
        <v>0</v>
      </c>
      <c r="H40" s="17">
        <f>F40+G40</f>
        <v>11440</v>
      </c>
      <c r="I40" s="17">
        <v>11852</v>
      </c>
      <c r="J40" s="17">
        <v>0</v>
      </c>
      <c r="K40" s="17">
        <f t="shared" si="27"/>
        <v>11852</v>
      </c>
      <c r="L40" s="17">
        <v>12207</v>
      </c>
      <c r="M40" s="17">
        <v>0</v>
      </c>
      <c r="N40" s="17">
        <f>L40+M40</f>
        <v>12207</v>
      </c>
    </row>
    <row r="41" spans="1:14" s="15" customFormat="1" x14ac:dyDescent="0.2">
      <c r="A41" s="26" t="s">
        <v>38</v>
      </c>
      <c r="B41" s="27" t="s">
        <v>8</v>
      </c>
      <c r="C41" s="27" t="s">
        <v>39</v>
      </c>
      <c r="D41" s="27" t="s">
        <v>0</v>
      </c>
      <c r="E41" s="27" t="s">
        <v>0</v>
      </c>
      <c r="F41" s="12">
        <f t="shared" ref="F41:N42" si="28">F42</f>
        <v>2500000</v>
      </c>
      <c r="G41" s="12">
        <f t="shared" si="28"/>
        <v>0</v>
      </c>
      <c r="H41" s="12">
        <f t="shared" si="28"/>
        <v>2500000</v>
      </c>
      <c r="I41" s="12">
        <f t="shared" ref="I41:L42" si="29">I42</f>
        <v>2500000</v>
      </c>
      <c r="J41" s="12">
        <f t="shared" si="28"/>
        <v>0</v>
      </c>
      <c r="K41" s="12">
        <f t="shared" si="28"/>
        <v>2500000</v>
      </c>
      <c r="L41" s="12">
        <f t="shared" si="29"/>
        <v>2500000</v>
      </c>
      <c r="M41" s="12">
        <f t="shared" si="28"/>
        <v>0</v>
      </c>
      <c r="N41" s="12">
        <f t="shared" si="28"/>
        <v>2500000</v>
      </c>
    </row>
    <row r="42" spans="1:14" s="15" customFormat="1" x14ac:dyDescent="0.2">
      <c r="A42" s="26" t="s">
        <v>11</v>
      </c>
      <c r="B42" s="27" t="s">
        <v>8</v>
      </c>
      <c r="C42" s="27" t="s">
        <v>39</v>
      </c>
      <c r="D42" s="27" t="s">
        <v>12</v>
      </c>
      <c r="E42" s="27" t="s">
        <v>0</v>
      </c>
      <c r="F42" s="12">
        <f t="shared" si="28"/>
        <v>2500000</v>
      </c>
      <c r="G42" s="12">
        <f t="shared" si="28"/>
        <v>0</v>
      </c>
      <c r="H42" s="12">
        <f t="shared" si="28"/>
        <v>2500000</v>
      </c>
      <c r="I42" s="12">
        <f t="shared" si="29"/>
        <v>2500000</v>
      </c>
      <c r="J42" s="12">
        <f t="shared" si="28"/>
        <v>0</v>
      </c>
      <c r="K42" s="12">
        <f t="shared" si="28"/>
        <v>2500000</v>
      </c>
      <c r="L42" s="12">
        <f t="shared" si="29"/>
        <v>2500000</v>
      </c>
      <c r="M42" s="12">
        <f t="shared" si="28"/>
        <v>0</v>
      </c>
      <c r="N42" s="12">
        <f t="shared" si="28"/>
        <v>2500000</v>
      </c>
    </row>
    <row r="43" spans="1:14" s="15" customFormat="1" x14ac:dyDescent="0.2">
      <c r="A43" s="26" t="s">
        <v>40</v>
      </c>
      <c r="B43" s="27" t="s">
        <v>8</v>
      </c>
      <c r="C43" s="27" t="s">
        <v>39</v>
      </c>
      <c r="D43" s="27" t="s">
        <v>41</v>
      </c>
      <c r="E43" s="27" t="s">
        <v>0</v>
      </c>
      <c r="F43" s="12">
        <f t="shared" ref="F43:N43" si="30">F44+F46</f>
        <v>2500000</v>
      </c>
      <c r="G43" s="12">
        <f t="shared" ref="G43:H43" si="31">G44+G46</f>
        <v>0</v>
      </c>
      <c r="H43" s="12">
        <f t="shared" si="31"/>
        <v>2500000</v>
      </c>
      <c r="I43" s="12">
        <f t="shared" si="30"/>
        <v>2500000</v>
      </c>
      <c r="J43" s="12">
        <f t="shared" si="30"/>
        <v>0</v>
      </c>
      <c r="K43" s="12">
        <f t="shared" si="30"/>
        <v>2500000</v>
      </c>
      <c r="L43" s="12">
        <f t="shared" si="30"/>
        <v>2500000</v>
      </c>
      <c r="M43" s="12">
        <f t="shared" si="30"/>
        <v>0</v>
      </c>
      <c r="N43" s="12">
        <f t="shared" si="30"/>
        <v>2500000</v>
      </c>
    </row>
    <row r="44" spans="1:14" s="15" customFormat="1" ht="13.5" x14ac:dyDescent="0.2">
      <c r="A44" s="29" t="s">
        <v>42</v>
      </c>
      <c r="B44" s="30" t="s">
        <v>8</v>
      </c>
      <c r="C44" s="30" t="s">
        <v>39</v>
      </c>
      <c r="D44" s="30" t="s">
        <v>43</v>
      </c>
      <c r="E44" s="30" t="s">
        <v>0</v>
      </c>
      <c r="F44" s="13">
        <f t="shared" ref="F44:N44" si="32">F45</f>
        <v>1000000</v>
      </c>
      <c r="G44" s="13">
        <f t="shared" si="32"/>
        <v>0</v>
      </c>
      <c r="H44" s="13">
        <f t="shared" si="32"/>
        <v>1000000</v>
      </c>
      <c r="I44" s="13">
        <f t="shared" si="32"/>
        <v>1000000</v>
      </c>
      <c r="J44" s="13">
        <f t="shared" si="32"/>
        <v>0</v>
      </c>
      <c r="K44" s="13">
        <f t="shared" si="32"/>
        <v>1000000</v>
      </c>
      <c r="L44" s="13">
        <f t="shared" si="32"/>
        <v>1000000</v>
      </c>
      <c r="M44" s="13">
        <f t="shared" si="32"/>
        <v>0</v>
      </c>
      <c r="N44" s="13">
        <f t="shared" si="32"/>
        <v>1000000</v>
      </c>
    </row>
    <row r="45" spans="1:14" s="15" customFormat="1" x14ac:dyDescent="0.2">
      <c r="A45" s="16" t="s">
        <v>36</v>
      </c>
      <c r="B45" s="31" t="s">
        <v>8</v>
      </c>
      <c r="C45" s="31" t="s">
        <v>39</v>
      </c>
      <c r="D45" s="31" t="s">
        <v>43</v>
      </c>
      <c r="E45" s="31" t="s">
        <v>37</v>
      </c>
      <c r="F45" s="17">
        <v>1000000</v>
      </c>
      <c r="G45" s="17">
        <v>0</v>
      </c>
      <c r="H45" s="17">
        <f>F45+G45</f>
        <v>1000000</v>
      </c>
      <c r="I45" s="17">
        <v>1000000</v>
      </c>
      <c r="J45" s="17">
        <v>0</v>
      </c>
      <c r="K45" s="17">
        <f>I45+J45</f>
        <v>1000000</v>
      </c>
      <c r="L45" s="17">
        <v>1000000</v>
      </c>
      <c r="M45" s="17">
        <v>0</v>
      </c>
      <c r="N45" s="17">
        <f>L45+M45</f>
        <v>1000000</v>
      </c>
    </row>
    <row r="46" spans="1:14" s="15" customFormat="1" ht="27" x14ac:dyDescent="0.2">
      <c r="A46" s="29" t="s">
        <v>44</v>
      </c>
      <c r="B46" s="30" t="s">
        <v>8</v>
      </c>
      <c r="C46" s="30" t="s">
        <v>39</v>
      </c>
      <c r="D46" s="30" t="s">
        <v>45</v>
      </c>
      <c r="E46" s="30" t="s">
        <v>0</v>
      </c>
      <c r="F46" s="13">
        <f t="shared" ref="F46:N46" si="33">F47</f>
        <v>1500000</v>
      </c>
      <c r="G46" s="13">
        <f t="shared" si="33"/>
        <v>0</v>
      </c>
      <c r="H46" s="13">
        <f t="shared" si="33"/>
        <v>1500000</v>
      </c>
      <c r="I46" s="13">
        <f t="shared" si="33"/>
        <v>1500000</v>
      </c>
      <c r="J46" s="13">
        <f t="shared" si="33"/>
        <v>0</v>
      </c>
      <c r="K46" s="13">
        <f t="shared" si="33"/>
        <v>1500000</v>
      </c>
      <c r="L46" s="13">
        <f t="shared" si="33"/>
        <v>1500000</v>
      </c>
      <c r="M46" s="13">
        <f t="shared" si="33"/>
        <v>0</v>
      </c>
      <c r="N46" s="13">
        <f t="shared" si="33"/>
        <v>1500000</v>
      </c>
    </row>
    <row r="47" spans="1:14" s="15" customFormat="1" x14ac:dyDescent="0.2">
      <c r="A47" s="16" t="s">
        <v>36</v>
      </c>
      <c r="B47" s="31" t="s">
        <v>8</v>
      </c>
      <c r="C47" s="31" t="s">
        <v>39</v>
      </c>
      <c r="D47" s="31" t="s">
        <v>45</v>
      </c>
      <c r="E47" s="31" t="s">
        <v>37</v>
      </c>
      <c r="F47" s="17">
        <v>1500000</v>
      </c>
      <c r="G47" s="17">
        <v>0</v>
      </c>
      <c r="H47" s="17">
        <f>F47+G47</f>
        <v>1500000</v>
      </c>
      <c r="I47" s="17">
        <v>1500000</v>
      </c>
      <c r="J47" s="17">
        <v>0</v>
      </c>
      <c r="K47" s="17">
        <f>I47+J47</f>
        <v>1500000</v>
      </c>
      <c r="L47" s="17">
        <v>1500000</v>
      </c>
      <c r="M47" s="17">
        <v>0</v>
      </c>
      <c r="N47" s="17">
        <f>L47+M47</f>
        <v>1500000</v>
      </c>
    </row>
    <row r="48" spans="1:14" s="15" customFormat="1" x14ac:dyDescent="0.2">
      <c r="A48" s="26" t="s">
        <v>46</v>
      </c>
      <c r="B48" s="27" t="s">
        <v>8</v>
      </c>
      <c r="C48" s="27" t="s">
        <v>47</v>
      </c>
      <c r="D48" s="27" t="s">
        <v>0</v>
      </c>
      <c r="E48" s="27" t="s">
        <v>0</v>
      </c>
      <c r="F48" s="12">
        <f t="shared" ref="F48:N48" si="34">F49+F63</f>
        <v>19180229</v>
      </c>
      <c r="G48" s="12">
        <f t="shared" ref="G48:H48" si="35">G49+G63</f>
        <v>1398083</v>
      </c>
      <c r="H48" s="12">
        <f t="shared" si="35"/>
        <v>20578312</v>
      </c>
      <c r="I48" s="12">
        <f t="shared" si="34"/>
        <v>32027605.530000001</v>
      </c>
      <c r="J48" s="12">
        <f t="shared" si="34"/>
        <v>0</v>
      </c>
      <c r="K48" s="12">
        <f t="shared" si="34"/>
        <v>32027605.530000001</v>
      </c>
      <c r="L48" s="12">
        <f t="shared" si="34"/>
        <v>49105445.159999996</v>
      </c>
      <c r="M48" s="12">
        <f t="shared" si="34"/>
        <v>0</v>
      </c>
      <c r="N48" s="12">
        <f t="shared" si="34"/>
        <v>49105445.159999996</v>
      </c>
    </row>
    <row r="49" spans="1:14" s="15" customFormat="1" x14ac:dyDescent="0.2">
      <c r="A49" s="26" t="s">
        <v>48</v>
      </c>
      <c r="B49" s="27" t="s">
        <v>8</v>
      </c>
      <c r="C49" s="27" t="s">
        <v>47</v>
      </c>
      <c r="D49" s="27" t="s">
        <v>49</v>
      </c>
      <c r="E49" s="27" t="s">
        <v>0</v>
      </c>
      <c r="F49" s="12">
        <f t="shared" ref="F49:N49" si="36">F50+F60</f>
        <v>7233170</v>
      </c>
      <c r="G49" s="12">
        <f t="shared" ref="G49:H49" si="37">G50+G60</f>
        <v>1398083</v>
      </c>
      <c r="H49" s="12">
        <f t="shared" si="37"/>
        <v>8631253</v>
      </c>
      <c r="I49" s="12">
        <f t="shared" si="36"/>
        <v>7022497</v>
      </c>
      <c r="J49" s="12">
        <f t="shared" si="36"/>
        <v>0</v>
      </c>
      <c r="K49" s="12">
        <f t="shared" si="36"/>
        <v>7022497</v>
      </c>
      <c r="L49" s="12">
        <f t="shared" si="36"/>
        <v>7233172</v>
      </c>
      <c r="M49" s="12">
        <f t="shared" si="36"/>
        <v>0</v>
      </c>
      <c r="N49" s="12">
        <f t="shared" si="36"/>
        <v>7233172</v>
      </c>
    </row>
    <row r="50" spans="1:14" s="15" customFormat="1" x14ac:dyDescent="0.2">
      <c r="A50" s="26" t="s">
        <v>50</v>
      </c>
      <c r="B50" s="27" t="s">
        <v>8</v>
      </c>
      <c r="C50" s="27" t="s">
        <v>47</v>
      </c>
      <c r="D50" s="27" t="s">
        <v>51</v>
      </c>
      <c r="E50" s="27" t="s">
        <v>0</v>
      </c>
      <c r="F50" s="12">
        <f t="shared" ref="F50:N50" si="38">F51+F53+F55+F57</f>
        <v>6822728</v>
      </c>
      <c r="G50" s="12">
        <f t="shared" ref="G50:H50" si="39">G51+G53+G55+G57</f>
        <v>770000</v>
      </c>
      <c r="H50" s="12">
        <f t="shared" si="39"/>
        <v>7592728</v>
      </c>
      <c r="I50" s="12">
        <f t="shared" si="38"/>
        <v>5132587</v>
      </c>
      <c r="J50" s="12">
        <f t="shared" si="38"/>
        <v>0</v>
      </c>
      <c r="K50" s="12">
        <f t="shared" si="38"/>
        <v>5132587</v>
      </c>
      <c r="L50" s="12">
        <f t="shared" si="38"/>
        <v>5286564</v>
      </c>
      <c r="M50" s="12">
        <f t="shared" si="38"/>
        <v>0</v>
      </c>
      <c r="N50" s="12">
        <f t="shared" si="38"/>
        <v>5286564</v>
      </c>
    </row>
    <row r="51" spans="1:14" s="15" customFormat="1" ht="13.5" x14ac:dyDescent="0.2">
      <c r="A51" s="29" t="s">
        <v>52</v>
      </c>
      <c r="B51" s="30" t="s">
        <v>8</v>
      </c>
      <c r="C51" s="30" t="s">
        <v>47</v>
      </c>
      <c r="D51" s="30" t="s">
        <v>53</v>
      </c>
      <c r="E51" s="30" t="s">
        <v>0</v>
      </c>
      <c r="F51" s="13">
        <f t="shared" ref="F51:N51" si="40">F52</f>
        <v>256042</v>
      </c>
      <c r="G51" s="13">
        <v>750000</v>
      </c>
      <c r="H51" s="13">
        <f t="shared" si="40"/>
        <v>1006042</v>
      </c>
      <c r="I51" s="13">
        <f t="shared" si="40"/>
        <v>266797</v>
      </c>
      <c r="J51" s="13">
        <f t="shared" si="40"/>
        <v>0</v>
      </c>
      <c r="K51" s="13">
        <f t="shared" si="40"/>
        <v>266797</v>
      </c>
      <c r="L51" s="13">
        <f t="shared" si="40"/>
        <v>274801</v>
      </c>
      <c r="M51" s="13">
        <f t="shared" si="40"/>
        <v>0</v>
      </c>
      <c r="N51" s="13">
        <f t="shared" si="40"/>
        <v>274801</v>
      </c>
    </row>
    <row r="52" spans="1:14" s="15" customFormat="1" x14ac:dyDescent="0.2">
      <c r="A52" s="16" t="s">
        <v>19</v>
      </c>
      <c r="B52" s="31" t="s">
        <v>8</v>
      </c>
      <c r="C52" s="31" t="s">
        <v>47</v>
      </c>
      <c r="D52" s="31" t="s">
        <v>53</v>
      </c>
      <c r="E52" s="31" t="s">
        <v>20</v>
      </c>
      <c r="F52" s="17">
        <v>256042</v>
      </c>
      <c r="G52" s="17">
        <v>750000</v>
      </c>
      <c r="H52" s="17">
        <f>F52+G52</f>
        <v>1006042</v>
      </c>
      <c r="I52" s="17">
        <v>266797</v>
      </c>
      <c r="J52" s="17">
        <v>0</v>
      </c>
      <c r="K52" s="17">
        <f>I52+J52</f>
        <v>266797</v>
      </c>
      <c r="L52" s="17">
        <v>274801</v>
      </c>
      <c r="M52" s="17">
        <v>0</v>
      </c>
      <c r="N52" s="17">
        <f>L52+M52</f>
        <v>274801</v>
      </c>
    </row>
    <row r="53" spans="1:14" s="15" customFormat="1" ht="13.5" x14ac:dyDescent="0.2">
      <c r="A53" s="29" t="s">
        <v>54</v>
      </c>
      <c r="B53" s="30" t="s">
        <v>8</v>
      </c>
      <c r="C53" s="30" t="s">
        <v>47</v>
      </c>
      <c r="D53" s="30" t="s">
        <v>55</v>
      </c>
      <c r="E53" s="30" t="s">
        <v>0</v>
      </c>
      <c r="F53" s="13">
        <f t="shared" ref="F53:N53" si="41">F54</f>
        <v>1647031</v>
      </c>
      <c r="G53" s="13">
        <f t="shared" si="41"/>
        <v>0</v>
      </c>
      <c r="H53" s="13">
        <f t="shared" si="41"/>
        <v>1647031</v>
      </c>
      <c r="I53" s="13">
        <f t="shared" si="41"/>
        <v>259403</v>
      </c>
      <c r="J53" s="13">
        <f t="shared" si="41"/>
        <v>0</v>
      </c>
      <c r="K53" s="13">
        <f t="shared" si="41"/>
        <v>259403</v>
      </c>
      <c r="L53" s="13">
        <f t="shared" si="41"/>
        <v>267185</v>
      </c>
      <c r="M53" s="13">
        <f t="shared" si="41"/>
        <v>0</v>
      </c>
      <c r="N53" s="13">
        <f t="shared" si="41"/>
        <v>267185</v>
      </c>
    </row>
    <row r="54" spans="1:14" s="15" customFormat="1" x14ac:dyDescent="0.2">
      <c r="A54" s="16" t="s">
        <v>19</v>
      </c>
      <c r="B54" s="31" t="s">
        <v>8</v>
      </c>
      <c r="C54" s="31" t="s">
        <v>47</v>
      </c>
      <c r="D54" s="31" t="s">
        <v>55</v>
      </c>
      <c r="E54" s="31" t="s">
        <v>20</v>
      </c>
      <c r="F54" s="17">
        <f>248947+1398084</f>
        <v>1647031</v>
      </c>
      <c r="G54" s="17">
        <v>0</v>
      </c>
      <c r="H54" s="17">
        <f>F54+G54</f>
        <v>1647031</v>
      </c>
      <c r="I54" s="17">
        <v>259403</v>
      </c>
      <c r="J54" s="17">
        <v>0</v>
      </c>
      <c r="K54" s="17">
        <f>I54+J54</f>
        <v>259403</v>
      </c>
      <c r="L54" s="17">
        <v>267185</v>
      </c>
      <c r="M54" s="17">
        <v>0</v>
      </c>
      <c r="N54" s="17">
        <f>L54+M54</f>
        <v>267185</v>
      </c>
    </row>
    <row r="55" spans="1:14" s="15" customFormat="1" ht="13.5" x14ac:dyDescent="0.2">
      <c r="A55" s="29" t="s">
        <v>56</v>
      </c>
      <c r="B55" s="30" t="s">
        <v>8</v>
      </c>
      <c r="C55" s="30" t="s">
        <v>47</v>
      </c>
      <c r="D55" s="30" t="s">
        <v>57</v>
      </c>
      <c r="E55" s="30" t="s">
        <v>0</v>
      </c>
      <c r="F55" s="13">
        <f t="shared" ref="F55:N55" si="42">F56</f>
        <v>2662319</v>
      </c>
      <c r="G55" s="13">
        <f t="shared" si="42"/>
        <v>0</v>
      </c>
      <c r="H55" s="13">
        <f t="shared" si="42"/>
        <v>2662319</v>
      </c>
      <c r="I55" s="13">
        <f t="shared" si="42"/>
        <v>2319271</v>
      </c>
      <c r="J55" s="13">
        <f t="shared" si="42"/>
        <v>0</v>
      </c>
      <c r="K55" s="13">
        <f t="shared" si="42"/>
        <v>2319271</v>
      </c>
      <c r="L55" s="13">
        <f t="shared" si="42"/>
        <v>2388849</v>
      </c>
      <c r="M55" s="13">
        <f t="shared" si="42"/>
        <v>0</v>
      </c>
      <c r="N55" s="13">
        <f t="shared" si="42"/>
        <v>2388849</v>
      </c>
    </row>
    <row r="56" spans="1:14" s="15" customFormat="1" x14ac:dyDescent="0.2">
      <c r="A56" s="16" t="s">
        <v>19</v>
      </c>
      <c r="B56" s="31" t="s">
        <v>8</v>
      </c>
      <c r="C56" s="31" t="s">
        <v>47</v>
      </c>
      <c r="D56" s="31" t="s">
        <v>57</v>
      </c>
      <c r="E56" s="31" t="s">
        <v>20</v>
      </c>
      <c r="F56" s="17">
        <v>2662319</v>
      </c>
      <c r="G56" s="17">
        <v>0</v>
      </c>
      <c r="H56" s="17">
        <f>F56+G56</f>
        <v>2662319</v>
      </c>
      <c r="I56" s="17">
        <v>2319271</v>
      </c>
      <c r="J56" s="17">
        <v>0</v>
      </c>
      <c r="K56" s="17">
        <f>I56+J56</f>
        <v>2319271</v>
      </c>
      <c r="L56" s="17">
        <v>2388849</v>
      </c>
      <c r="M56" s="17">
        <v>0</v>
      </c>
      <c r="N56" s="17">
        <f>L56+M56</f>
        <v>2388849</v>
      </c>
    </row>
    <row r="57" spans="1:14" s="15" customFormat="1" ht="13.5" x14ac:dyDescent="0.2">
      <c r="A57" s="29" t="s">
        <v>58</v>
      </c>
      <c r="B57" s="30" t="s">
        <v>8</v>
      </c>
      <c r="C57" s="30" t="s">
        <v>47</v>
      </c>
      <c r="D57" s="30" t="s">
        <v>59</v>
      </c>
      <c r="E57" s="30" t="s">
        <v>0</v>
      </c>
      <c r="F57" s="13">
        <f t="shared" ref="F57:N57" si="43">F58+F59</f>
        <v>2257336</v>
      </c>
      <c r="G57" s="13">
        <f t="shared" ref="G57:H57" si="44">G58+G59</f>
        <v>20000</v>
      </c>
      <c r="H57" s="13">
        <f t="shared" si="44"/>
        <v>2277336</v>
      </c>
      <c r="I57" s="13">
        <f t="shared" si="43"/>
        <v>2287116</v>
      </c>
      <c r="J57" s="13">
        <f t="shared" si="43"/>
        <v>0</v>
      </c>
      <c r="K57" s="13">
        <f t="shared" si="43"/>
        <v>2287116</v>
      </c>
      <c r="L57" s="13">
        <f t="shared" si="43"/>
        <v>2355729</v>
      </c>
      <c r="M57" s="13">
        <f t="shared" si="43"/>
        <v>0</v>
      </c>
      <c r="N57" s="13">
        <f t="shared" si="43"/>
        <v>2355729</v>
      </c>
    </row>
    <row r="58" spans="1:14" s="15" customFormat="1" x14ac:dyDescent="0.2">
      <c r="A58" s="16" t="s">
        <v>19</v>
      </c>
      <c r="B58" s="31" t="s">
        <v>8</v>
      </c>
      <c r="C58" s="31" t="s">
        <v>47</v>
      </c>
      <c r="D58" s="31" t="s">
        <v>59</v>
      </c>
      <c r="E58" s="31" t="s">
        <v>20</v>
      </c>
      <c r="F58" s="17">
        <f>40000+1857336+360000</f>
        <v>2257336</v>
      </c>
      <c r="G58" s="17">
        <v>20000</v>
      </c>
      <c r="H58" s="17">
        <f>F58+G58</f>
        <v>2277336</v>
      </c>
      <c r="I58" s="17">
        <f>40000+1887116+360000</f>
        <v>2287116</v>
      </c>
      <c r="J58" s="17">
        <v>0</v>
      </c>
      <c r="K58" s="17">
        <f>I58+J58</f>
        <v>2287116</v>
      </c>
      <c r="L58" s="17">
        <f>40000+1945729+370000</f>
        <v>2355729</v>
      </c>
      <c r="M58" s="17">
        <v>0</v>
      </c>
      <c r="N58" s="17">
        <f>L58+M58</f>
        <v>2355729</v>
      </c>
    </row>
    <row r="59" spans="1:14" s="63" customFormat="1" hidden="1" outlineLevel="1" x14ac:dyDescent="0.2">
      <c r="A59" s="62" t="s">
        <v>36</v>
      </c>
      <c r="B59" s="61" t="s">
        <v>8</v>
      </c>
      <c r="C59" s="61" t="s">
        <v>47</v>
      </c>
      <c r="D59" s="61" t="s">
        <v>59</v>
      </c>
      <c r="E59" s="61" t="s">
        <v>37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s="15" customFormat="1" collapsed="1" x14ac:dyDescent="0.2">
      <c r="A60" s="26" t="s">
        <v>60</v>
      </c>
      <c r="B60" s="27" t="s">
        <v>8</v>
      </c>
      <c r="C60" s="27" t="s">
        <v>47</v>
      </c>
      <c r="D60" s="27" t="s">
        <v>61</v>
      </c>
      <c r="E60" s="27" t="s">
        <v>0</v>
      </c>
      <c r="F60" s="12">
        <f t="shared" ref="F60:N61" si="45">F61</f>
        <v>410442</v>
      </c>
      <c r="G60" s="12">
        <f t="shared" si="45"/>
        <v>628083</v>
      </c>
      <c r="H60" s="12">
        <f t="shared" si="45"/>
        <v>1038525</v>
      </c>
      <c r="I60" s="12">
        <f t="shared" ref="I60:L61" si="46">I61</f>
        <v>1889910</v>
      </c>
      <c r="J60" s="12">
        <f t="shared" si="45"/>
        <v>0</v>
      </c>
      <c r="K60" s="12">
        <f t="shared" si="45"/>
        <v>1889910</v>
      </c>
      <c r="L60" s="12">
        <f t="shared" si="46"/>
        <v>1946608</v>
      </c>
      <c r="M60" s="12">
        <f t="shared" si="45"/>
        <v>0</v>
      </c>
      <c r="N60" s="12">
        <f t="shared" si="45"/>
        <v>1946608</v>
      </c>
    </row>
    <row r="61" spans="1:14" s="15" customFormat="1" ht="27" x14ac:dyDescent="0.2">
      <c r="A61" s="29" t="s">
        <v>62</v>
      </c>
      <c r="B61" s="30" t="s">
        <v>8</v>
      </c>
      <c r="C61" s="30" t="s">
        <v>47</v>
      </c>
      <c r="D61" s="30" t="s">
        <v>63</v>
      </c>
      <c r="E61" s="30" t="s">
        <v>0</v>
      </c>
      <c r="F61" s="13">
        <f t="shared" si="45"/>
        <v>410442</v>
      </c>
      <c r="G61" s="13">
        <f t="shared" si="45"/>
        <v>628083</v>
      </c>
      <c r="H61" s="13">
        <f t="shared" si="45"/>
        <v>1038525</v>
      </c>
      <c r="I61" s="13">
        <f t="shared" si="46"/>
        <v>1889910</v>
      </c>
      <c r="J61" s="13">
        <f t="shared" si="45"/>
        <v>0</v>
      </c>
      <c r="K61" s="13">
        <f t="shared" si="45"/>
        <v>1889910</v>
      </c>
      <c r="L61" s="13">
        <f t="shared" si="46"/>
        <v>1946608</v>
      </c>
      <c r="M61" s="13">
        <f t="shared" si="45"/>
        <v>0</v>
      </c>
      <c r="N61" s="13">
        <f t="shared" si="45"/>
        <v>1946608</v>
      </c>
    </row>
    <row r="62" spans="1:14" s="15" customFormat="1" x14ac:dyDescent="0.2">
      <c r="A62" s="16" t="s">
        <v>19</v>
      </c>
      <c r="B62" s="31" t="s">
        <v>8</v>
      </c>
      <c r="C62" s="31" t="s">
        <v>47</v>
      </c>
      <c r="D62" s="31" t="s">
        <v>63</v>
      </c>
      <c r="E62" s="31" t="s">
        <v>20</v>
      </c>
      <c r="F62" s="17">
        <f>1808526-1398084</f>
        <v>410442</v>
      </c>
      <c r="G62" s="17">
        <v>628083</v>
      </c>
      <c r="H62" s="17">
        <f>F62+G62</f>
        <v>1038525</v>
      </c>
      <c r="I62" s="17">
        <v>1889910</v>
      </c>
      <c r="J62" s="17">
        <v>0</v>
      </c>
      <c r="K62" s="17">
        <f>I62+J62</f>
        <v>1889910</v>
      </c>
      <c r="L62" s="17">
        <v>1946608</v>
      </c>
      <c r="M62" s="17">
        <v>0</v>
      </c>
      <c r="N62" s="17">
        <f>L62+M62</f>
        <v>1946608</v>
      </c>
    </row>
    <row r="63" spans="1:14" s="15" customFormat="1" x14ac:dyDescent="0.2">
      <c r="A63" s="26" t="s">
        <v>11</v>
      </c>
      <c r="B63" s="27" t="s">
        <v>8</v>
      </c>
      <c r="C63" s="27" t="s">
        <v>47</v>
      </c>
      <c r="D63" s="27" t="s">
        <v>12</v>
      </c>
      <c r="E63" s="27" t="s">
        <v>0</v>
      </c>
      <c r="F63" s="12">
        <f t="shared" ref="F63:N63" si="47">F64+F71</f>
        <v>11947059</v>
      </c>
      <c r="G63" s="12">
        <f t="shared" ref="G63:H63" si="48">G64+G71</f>
        <v>0</v>
      </c>
      <c r="H63" s="12">
        <f t="shared" si="48"/>
        <v>11947059</v>
      </c>
      <c r="I63" s="12">
        <f t="shared" si="47"/>
        <v>25005108.530000001</v>
      </c>
      <c r="J63" s="12">
        <f t="shared" si="47"/>
        <v>0</v>
      </c>
      <c r="K63" s="12">
        <f t="shared" si="47"/>
        <v>25005108.530000001</v>
      </c>
      <c r="L63" s="12">
        <f t="shared" si="47"/>
        <v>41872273.159999996</v>
      </c>
      <c r="M63" s="12">
        <f t="shared" si="47"/>
        <v>0</v>
      </c>
      <c r="N63" s="12">
        <f t="shared" si="47"/>
        <v>41872273.159999996</v>
      </c>
    </row>
    <row r="64" spans="1:14" s="15" customFormat="1" x14ac:dyDescent="0.2">
      <c r="A64" s="26" t="s">
        <v>40</v>
      </c>
      <c r="B64" s="27" t="s">
        <v>8</v>
      </c>
      <c r="C64" s="27" t="s">
        <v>47</v>
      </c>
      <c r="D64" s="27" t="s">
        <v>41</v>
      </c>
      <c r="E64" s="27" t="s">
        <v>0</v>
      </c>
      <c r="F64" s="12">
        <f t="shared" ref="F64:N64" si="49">F65+F67</f>
        <v>11947059</v>
      </c>
      <c r="G64" s="12">
        <f t="shared" ref="G64:H64" si="50">G65+G67</f>
        <v>0</v>
      </c>
      <c r="H64" s="12">
        <f t="shared" si="50"/>
        <v>11947059</v>
      </c>
      <c r="I64" s="12">
        <f t="shared" si="49"/>
        <v>11154677</v>
      </c>
      <c r="J64" s="12">
        <f t="shared" si="49"/>
        <v>0</v>
      </c>
      <c r="K64" s="12">
        <f t="shared" si="49"/>
        <v>11154677</v>
      </c>
      <c r="L64" s="12">
        <f t="shared" si="49"/>
        <v>10569200</v>
      </c>
      <c r="M64" s="12">
        <f t="shared" si="49"/>
        <v>0</v>
      </c>
      <c r="N64" s="12">
        <f t="shared" si="49"/>
        <v>10569200</v>
      </c>
    </row>
    <row r="65" spans="1:15" s="15" customFormat="1" ht="27" x14ac:dyDescent="0.2">
      <c r="A65" s="29" t="s">
        <v>64</v>
      </c>
      <c r="B65" s="30" t="s">
        <v>8</v>
      </c>
      <c r="C65" s="30" t="s">
        <v>47</v>
      </c>
      <c r="D65" s="30" t="s">
        <v>65</v>
      </c>
      <c r="E65" s="30" t="s">
        <v>0</v>
      </c>
      <c r="F65" s="13">
        <f t="shared" ref="F65:N65" si="51">F66</f>
        <v>7650000</v>
      </c>
      <c r="G65" s="13">
        <f t="shared" si="51"/>
        <v>0</v>
      </c>
      <c r="H65" s="13">
        <f t="shared" si="51"/>
        <v>7650000</v>
      </c>
      <c r="I65" s="13">
        <f t="shared" si="51"/>
        <v>7650000</v>
      </c>
      <c r="J65" s="13">
        <f t="shared" si="51"/>
        <v>0</v>
      </c>
      <c r="K65" s="13">
        <f t="shared" si="51"/>
        <v>7650000</v>
      </c>
      <c r="L65" s="13">
        <f t="shared" si="51"/>
        <v>6991958</v>
      </c>
      <c r="M65" s="13">
        <f t="shared" si="51"/>
        <v>0</v>
      </c>
      <c r="N65" s="13">
        <f t="shared" si="51"/>
        <v>6991958</v>
      </c>
    </row>
    <row r="66" spans="1:15" s="15" customFormat="1" x14ac:dyDescent="0.2">
      <c r="A66" s="16" t="s">
        <v>36</v>
      </c>
      <c r="B66" s="31" t="s">
        <v>8</v>
      </c>
      <c r="C66" s="31" t="s">
        <v>47</v>
      </c>
      <c r="D66" s="31" t="s">
        <v>65</v>
      </c>
      <c r="E66" s="31" t="s">
        <v>37</v>
      </c>
      <c r="F66" s="17">
        <f>200000+7450000</f>
        <v>7650000</v>
      </c>
      <c r="G66" s="17">
        <v>0</v>
      </c>
      <c r="H66" s="17">
        <f>F66+G66</f>
        <v>7650000</v>
      </c>
      <c r="I66" s="17">
        <f>200000+7450000</f>
        <v>7650000</v>
      </c>
      <c r="J66" s="17">
        <v>0</v>
      </c>
      <c r="K66" s="17">
        <f>I66+J66</f>
        <v>7650000</v>
      </c>
      <c r="L66" s="17">
        <f>200000+6791958</f>
        <v>6991958</v>
      </c>
      <c r="M66" s="17">
        <v>0</v>
      </c>
      <c r="N66" s="17">
        <f>L66+M66</f>
        <v>6991958</v>
      </c>
    </row>
    <row r="67" spans="1:15" s="15" customFormat="1" ht="12.75" customHeight="1" x14ac:dyDescent="0.2">
      <c r="A67" s="29" t="s">
        <v>66</v>
      </c>
      <c r="B67" s="30" t="s">
        <v>8</v>
      </c>
      <c r="C67" s="30" t="s">
        <v>47</v>
      </c>
      <c r="D67" s="30" t="s">
        <v>67</v>
      </c>
      <c r="E67" s="30" t="s">
        <v>0</v>
      </c>
      <c r="F67" s="13">
        <f t="shared" ref="F67:N67" si="52">F68+F69+F70</f>
        <v>4297059</v>
      </c>
      <c r="G67" s="13">
        <f t="shared" ref="G67:H67" si="53">G68+G69+G70</f>
        <v>0</v>
      </c>
      <c r="H67" s="13">
        <f t="shared" si="53"/>
        <v>4297059</v>
      </c>
      <c r="I67" s="13">
        <f t="shared" si="52"/>
        <v>3504677</v>
      </c>
      <c r="J67" s="13">
        <f t="shared" si="52"/>
        <v>0</v>
      </c>
      <c r="K67" s="13">
        <f t="shared" si="52"/>
        <v>3504677</v>
      </c>
      <c r="L67" s="13">
        <f t="shared" si="52"/>
        <v>3577242</v>
      </c>
      <c r="M67" s="13">
        <f t="shared" si="52"/>
        <v>0</v>
      </c>
      <c r="N67" s="13">
        <f t="shared" si="52"/>
        <v>3577242</v>
      </c>
    </row>
    <row r="68" spans="1:15" s="15" customFormat="1" x14ac:dyDescent="0.2">
      <c r="A68" s="16" t="s">
        <v>19</v>
      </c>
      <c r="B68" s="31" t="s">
        <v>8</v>
      </c>
      <c r="C68" s="31" t="s">
        <v>47</v>
      </c>
      <c r="D68" s="31" t="s">
        <v>67</v>
      </c>
      <c r="E68" s="31" t="s">
        <v>20</v>
      </c>
      <c r="F68" s="17">
        <f>202218+1792628</f>
        <v>1994846</v>
      </c>
      <c r="G68" s="17">
        <v>0</v>
      </c>
      <c r="H68" s="17">
        <f>F68+G68</f>
        <v>1994846</v>
      </c>
      <c r="I68" s="17">
        <f>209497+2037347</f>
        <v>2246844</v>
      </c>
      <c r="J68" s="17">
        <v>0</v>
      </c>
      <c r="K68" s="17">
        <f t="shared" ref="K68:K70" si="54">I68+J68</f>
        <v>2246844</v>
      </c>
      <c r="L68" s="17">
        <f>212157+2098467</f>
        <v>2310624</v>
      </c>
      <c r="M68" s="17">
        <v>0</v>
      </c>
      <c r="N68" s="17">
        <f>L68+M68</f>
        <v>2310624</v>
      </c>
    </row>
    <row r="69" spans="1:15" s="15" customFormat="1" x14ac:dyDescent="0.2">
      <c r="A69" s="16" t="s">
        <v>68</v>
      </c>
      <c r="B69" s="31" t="s">
        <v>8</v>
      </c>
      <c r="C69" s="31" t="s">
        <v>47</v>
      </c>
      <c r="D69" s="31" t="s">
        <v>67</v>
      </c>
      <c r="E69" s="31" t="s">
        <v>69</v>
      </c>
      <c r="F69" s="17">
        <f>580000+385000</f>
        <v>965000</v>
      </c>
      <c r="G69" s="17">
        <v>0</v>
      </c>
      <c r="H69" s="17">
        <f>F69+G69</f>
        <v>965000</v>
      </c>
      <c r="I69" s="17">
        <f>580000+385000</f>
        <v>965000</v>
      </c>
      <c r="J69" s="17">
        <v>0</v>
      </c>
      <c r="K69" s="17">
        <f t="shared" si="54"/>
        <v>965000</v>
      </c>
      <c r="L69" s="17">
        <f>580000+385000</f>
        <v>965000</v>
      </c>
      <c r="M69" s="17">
        <v>0</v>
      </c>
      <c r="N69" s="17">
        <f>L69+M69</f>
        <v>965000</v>
      </c>
    </row>
    <row r="70" spans="1:15" s="15" customFormat="1" x14ac:dyDescent="0.2">
      <c r="A70" s="16" t="s">
        <v>36</v>
      </c>
      <c r="B70" s="31" t="s">
        <v>8</v>
      </c>
      <c r="C70" s="31" t="s">
        <v>47</v>
      </c>
      <c r="D70" s="31" t="s">
        <v>67</v>
      </c>
      <c r="E70" s="31" t="s">
        <v>37</v>
      </c>
      <c r="F70" s="17">
        <v>1337213</v>
      </c>
      <c r="G70" s="17">
        <v>0</v>
      </c>
      <c r="H70" s="17">
        <f>F70+G70</f>
        <v>1337213</v>
      </c>
      <c r="I70" s="17">
        <v>292833</v>
      </c>
      <c r="J70" s="17">
        <v>0</v>
      </c>
      <c r="K70" s="17">
        <f t="shared" si="54"/>
        <v>292833</v>
      </c>
      <c r="L70" s="17">
        <v>301618</v>
      </c>
      <c r="M70" s="17">
        <v>0</v>
      </c>
      <c r="N70" s="17">
        <f>L70+M70</f>
        <v>301618</v>
      </c>
    </row>
    <row r="71" spans="1:15" s="15" customFormat="1" x14ac:dyDescent="0.2">
      <c r="A71" s="26" t="s">
        <v>70</v>
      </c>
      <c r="B71" s="27" t="s">
        <v>8</v>
      </c>
      <c r="C71" s="27" t="s">
        <v>47</v>
      </c>
      <c r="D71" s="27" t="s">
        <v>71</v>
      </c>
      <c r="E71" s="27" t="s">
        <v>0</v>
      </c>
      <c r="F71" s="12">
        <f t="shared" ref="F71:N72" si="55">F72</f>
        <v>0</v>
      </c>
      <c r="G71" s="12">
        <f t="shared" si="55"/>
        <v>0</v>
      </c>
      <c r="H71" s="12">
        <f t="shared" si="55"/>
        <v>0</v>
      </c>
      <c r="I71" s="12">
        <f t="shared" ref="I71:L72" si="56">I72</f>
        <v>13850431.529999999</v>
      </c>
      <c r="J71" s="12">
        <f t="shared" si="55"/>
        <v>0</v>
      </c>
      <c r="K71" s="12">
        <f t="shared" si="55"/>
        <v>13850431.529999999</v>
      </c>
      <c r="L71" s="12">
        <f t="shared" si="56"/>
        <v>31303073.16</v>
      </c>
      <c r="M71" s="12">
        <f t="shared" si="55"/>
        <v>0</v>
      </c>
      <c r="N71" s="12">
        <f t="shared" si="55"/>
        <v>31303073.16</v>
      </c>
    </row>
    <row r="72" spans="1:15" s="15" customFormat="1" ht="15" customHeight="1" x14ac:dyDescent="0.2">
      <c r="A72" s="45" t="s">
        <v>70</v>
      </c>
      <c r="B72" s="46" t="s">
        <v>8</v>
      </c>
      <c r="C72" s="46" t="s">
        <v>47</v>
      </c>
      <c r="D72" s="46" t="s">
        <v>71</v>
      </c>
      <c r="E72" s="46" t="s">
        <v>0</v>
      </c>
      <c r="F72" s="19">
        <f t="shared" si="55"/>
        <v>0</v>
      </c>
      <c r="G72" s="19">
        <f t="shared" si="55"/>
        <v>0</v>
      </c>
      <c r="H72" s="19">
        <f t="shared" si="55"/>
        <v>0</v>
      </c>
      <c r="I72" s="19">
        <f t="shared" si="56"/>
        <v>13850431.529999999</v>
      </c>
      <c r="J72" s="19">
        <f t="shared" si="55"/>
        <v>0</v>
      </c>
      <c r="K72" s="19">
        <f t="shared" si="55"/>
        <v>13850431.529999999</v>
      </c>
      <c r="L72" s="19">
        <f t="shared" si="56"/>
        <v>31303073.16</v>
      </c>
      <c r="M72" s="19">
        <f t="shared" si="55"/>
        <v>0</v>
      </c>
      <c r="N72" s="19">
        <f t="shared" si="55"/>
        <v>31303073.16</v>
      </c>
    </row>
    <row r="73" spans="1:15" s="15" customFormat="1" ht="15" customHeight="1" x14ac:dyDescent="0.2">
      <c r="A73" s="41" t="s">
        <v>36</v>
      </c>
      <c r="B73" s="42" t="s">
        <v>8</v>
      </c>
      <c r="C73" s="42" t="s">
        <v>47</v>
      </c>
      <c r="D73" s="42" t="s">
        <v>71</v>
      </c>
      <c r="E73" s="42" t="s">
        <v>37</v>
      </c>
      <c r="F73" s="18">
        <v>0</v>
      </c>
      <c r="G73" s="18">
        <v>0</v>
      </c>
      <c r="H73" s="17">
        <f>F73+G73</f>
        <v>0</v>
      </c>
      <c r="I73" s="18">
        <v>13850431.529999999</v>
      </c>
      <c r="J73" s="18">
        <v>0</v>
      </c>
      <c r="K73" s="17">
        <f>I73+J73</f>
        <v>13850431.529999999</v>
      </c>
      <c r="L73" s="18">
        <f>27695066.52+3608006.64</f>
        <v>31303073.16</v>
      </c>
      <c r="M73" s="18">
        <v>0</v>
      </c>
      <c r="N73" s="17">
        <f>L73+M73</f>
        <v>31303073.16</v>
      </c>
    </row>
    <row r="74" spans="1:15" s="15" customFormat="1" ht="25.5" x14ac:dyDescent="0.2">
      <c r="A74" s="26" t="s">
        <v>211</v>
      </c>
      <c r="B74" s="27" t="s">
        <v>10</v>
      </c>
      <c r="C74" s="27" t="s">
        <v>0</v>
      </c>
      <c r="D74" s="27" t="s">
        <v>0</v>
      </c>
      <c r="E74" s="27" t="s">
        <v>0</v>
      </c>
      <c r="F74" s="12">
        <f t="shared" ref="F74:N74" si="57">F75</f>
        <v>4489474</v>
      </c>
      <c r="G74" s="12">
        <f t="shared" si="57"/>
        <v>617870.71</v>
      </c>
      <c r="H74" s="12">
        <f t="shared" si="57"/>
        <v>5107344.71</v>
      </c>
      <c r="I74" s="12">
        <f t="shared" si="57"/>
        <v>4132608</v>
      </c>
      <c r="J74" s="12">
        <f>J75</f>
        <v>0</v>
      </c>
      <c r="K74" s="12">
        <f t="shared" si="57"/>
        <v>4132608</v>
      </c>
      <c r="L74" s="12">
        <f t="shared" si="57"/>
        <v>4243059</v>
      </c>
      <c r="M74" s="12">
        <f>M75</f>
        <v>0</v>
      </c>
      <c r="N74" s="12">
        <f t="shared" si="57"/>
        <v>4243059</v>
      </c>
    </row>
    <row r="75" spans="1:15" s="15" customFormat="1" ht="25.5" x14ac:dyDescent="0.2">
      <c r="A75" s="26" t="s">
        <v>72</v>
      </c>
      <c r="B75" s="27" t="s">
        <v>10</v>
      </c>
      <c r="C75" s="27" t="s">
        <v>73</v>
      </c>
      <c r="D75" s="27" t="s">
        <v>0</v>
      </c>
      <c r="E75" s="27" t="s">
        <v>0</v>
      </c>
      <c r="F75" s="12">
        <f>F76+F89+F80</f>
        <v>4489474</v>
      </c>
      <c r="G75" s="12">
        <f>G76+G89+G80</f>
        <v>617870.71</v>
      </c>
      <c r="H75" s="12">
        <f>H76+H89+H80</f>
        <v>5107344.71</v>
      </c>
      <c r="I75" s="12">
        <f t="shared" ref="I75:L75" si="58">I76+I89</f>
        <v>4132608</v>
      </c>
      <c r="J75" s="12">
        <f>J76+J89+J80</f>
        <v>0</v>
      </c>
      <c r="K75" s="12">
        <f>K76+K89+K80</f>
        <v>4132608</v>
      </c>
      <c r="L75" s="12">
        <f t="shared" si="58"/>
        <v>4243059</v>
      </c>
      <c r="M75" s="12">
        <f>M76+M89+M80</f>
        <v>0</v>
      </c>
      <c r="N75" s="12">
        <f>N76+N89+N80</f>
        <v>4243059</v>
      </c>
      <c r="O75" s="28"/>
    </row>
    <row r="76" spans="1:15" s="15" customFormat="1" ht="25.5" x14ac:dyDescent="0.2">
      <c r="A76" s="26" t="s">
        <v>74</v>
      </c>
      <c r="B76" s="27" t="s">
        <v>10</v>
      </c>
      <c r="C76" s="27" t="s">
        <v>73</v>
      </c>
      <c r="D76" s="27" t="s">
        <v>75</v>
      </c>
      <c r="E76" s="27" t="s">
        <v>0</v>
      </c>
      <c r="F76" s="12">
        <f t="shared" ref="F76:N78" si="59">F77</f>
        <v>2370741</v>
      </c>
      <c r="G76" s="12">
        <f t="shared" si="59"/>
        <v>0</v>
      </c>
      <c r="H76" s="12">
        <f t="shared" si="59"/>
        <v>2370741</v>
      </c>
      <c r="I76" s="12">
        <f t="shared" ref="I76:L78" si="60">I77</f>
        <v>2787127</v>
      </c>
      <c r="J76" s="12">
        <f t="shared" si="59"/>
        <v>0</v>
      </c>
      <c r="K76" s="12">
        <f t="shared" si="59"/>
        <v>2787127</v>
      </c>
      <c r="L76" s="12">
        <f t="shared" si="60"/>
        <v>2870741</v>
      </c>
      <c r="M76" s="12">
        <f t="shared" si="59"/>
        <v>0</v>
      </c>
      <c r="N76" s="12">
        <f t="shared" si="59"/>
        <v>2870741</v>
      </c>
    </row>
    <row r="77" spans="1:15" s="15" customFormat="1" ht="38.25" x14ac:dyDescent="0.2">
      <c r="A77" s="26" t="s">
        <v>76</v>
      </c>
      <c r="B77" s="27" t="s">
        <v>10</v>
      </c>
      <c r="C77" s="27" t="s">
        <v>73</v>
      </c>
      <c r="D77" s="27" t="s">
        <v>77</v>
      </c>
      <c r="E77" s="27" t="s">
        <v>0</v>
      </c>
      <c r="F77" s="12">
        <f t="shared" si="59"/>
        <v>2370741</v>
      </c>
      <c r="G77" s="12">
        <f t="shared" si="59"/>
        <v>0</v>
      </c>
      <c r="H77" s="12">
        <f t="shared" si="59"/>
        <v>2370741</v>
      </c>
      <c r="I77" s="12">
        <f t="shared" si="60"/>
        <v>2787127</v>
      </c>
      <c r="J77" s="12">
        <f t="shared" si="59"/>
        <v>0</v>
      </c>
      <c r="K77" s="12">
        <f t="shared" si="59"/>
        <v>2787127</v>
      </c>
      <c r="L77" s="12">
        <f t="shared" si="60"/>
        <v>2870741</v>
      </c>
      <c r="M77" s="12">
        <f t="shared" si="59"/>
        <v>0</v>
      </c>
      <c r="N77" s="12">
        <f t="shared" si="59"/>
        <v>2870741</v>
      </c>
    </row>
    <row r="78" spans="1:15" s="15" customFormat="1" ht="27" customHeight="1" x14ac:dyDescent="0.2">
      <c r="A78" s="29" t="s">
        <v>78</v>
      </c>
      <c r="B78" s="30" t="s">
        <v>10</v>
      </c>
      <c r="C78" s="30" t="s">
        <v>73</v>
      </c>
      <c r="D78" s="30" t="s">
        <v>79</v>
      </c>
      <c r="E78" s="30" t="s">
        <v>0</v>
      </c>
      <c r="F78" s="13">
        <f t="shared" si="59"/>
        <v>2370741</v>
      </c>
      <c r="G78" s="13">
        <f t="shared" si="59"/>
        <v>0</v>
      </c>
      <c r="H78" s="13">
        <f t="shared" si="59"/>
        <v>2370741</v>
      </c>
      <c r="I78" s="13">
        <f t="shared" si="60"/>
        <v>2787127</v>
      </c>
      <c r="J78" s="13">
        <f t="shared" si="59"/>
        <v>0</v>
      </c>
      <c r="K78" s="13">
        <f t="shared" si="59"/>
        <v>2787127</v>
      </c>
      <c r="L78" s="13">
        <f t="shared" si="60"/>
        <v>2870741</v>
      </c>
      <c r="M78" s="13">
        <f t="shared" si="59"/>
        <v>0</v>
      </c>
      <c r="N78" s="13">
        <f t="shared" si="59"/>
        <v>2870741</v>
      </c>
    </row>
    <row r="79" spans="1:15" s="15" customFormat="1" x14ac:dyDescent="0.2">
      <c r="A79" s="16" t="s">
        <v>19</v>
      </c>
      <c r="B79" s="31" t="s">
        <v>10</v>
      </c>
      <c r="C79" s="31" t="s">
        <v>73</v>
      </c>
      <c r="D79" s="31" t="s">
        <v>79</v>
      </c>
      <c r="E79" s="31" t="s">
        <v>20</v>
      </c>
      <c r="F79" s="17">
        <f>2228241+142500</f>
        <v>2370741</v>
      </c>
      <c r="G79" s="17">
        <v>0</v>
      </c>
      <c r="H79" s="17">
        <f>F79+G79</f>
        <v>2370741</v>
      </c>
      <c r="I79" s="17">
        <f>2308458+147630+331039</f>
        <v>2787127</v>
      </c>
      <c r="J79" s="17">
        <v>0</v>
      </c>
      <c r="K79" s="17">
        <f>I79+J79</f>
        <v>2787127</v>
      </c>
      <c r="L79" s="17">
        <f>2377712+152059+340970</f>
        <v>2870741</v>
      </c>
      <c r="M79" s="17">
        <v>0</v>
      </c>
      <c r="N79" s="17">
        <f>L79+M79</f>
        <v>2870741</v>
      </c>
    </row>
    <row r="80" spans="1:15" s="15" customFormat="1" x14ac:dyDescent="0.2">
      <c r="A80" s="26" t="s">
        <v>247</v>
      </c>
      <c r="B80" s="27" t="s">
        <v>10</v>
      </c>
      <c r="C80" s="27" t="s">
        <v>73</v>
      </c>
      <c r="D80" s="27" t="s">
        <v>248</v>
      </c>
      <c r="E80" s="31"/>
      <c r="F80" s="12">
        <f t="shared" ref="F80:N86" si="61">F81</f>
        <v>0</v>
      </c>
      <c r="G80" s="12">
        <f>G81+G85</f>
        <v>1950099.71</v>
      </c>
      <c r="H80" s="12">
        <f t="shared" ref="H80:N80" si="62">H81+H85</f>
        <v>1950099.71</v>
      </c>
      <c r="I80" s="12">
        <f t="shared" si="62"/>
        <v>0</v>
      </c>
      <c r="J80" s="12">
        <f t="shared" si="62"/>
        <v>1246025</v>
      </c>
      <c r="K80" s="12">
        <f t="shared" si="62"/>
        <v>1246025</v>
      </c>
      <c r="L80" s="12">
        <f t="shared" si="62"/>
        <v>0</v>
      </c>
      <c r="M80" s="12">
        <f t="shared" si="62"/>
        <v>1269878</v>
      </c>
      <c r="N80" s="12">
        <f t="shared" si="62"/>
        <v>1269878</v>
      </c>
    </row>
    <row r="81" spans="1:14" s="15" customFormat="1" ht="25.5" x14ac:dyDescent="0.2">
      <c r="A81" s="26" t="s">
        <v>249</v>
      </c>
      <c r="B81" s="27" t="s">
        <v>10</v>
      </c>
      <c r="C81" s="27" t="s">
        <v>73</v>
      </c>
      <c r="D81" s="27" t="s">
        <v>250</v>
      </c>
      <c r="E81" s="31"/>
      <c r="F81" s="12">
        <f t="shared" si="61"/>
        <v>0</v>
      </c>
      <c r="G81" s="14">
        <f>G82</f>
        <v>1414414.71</v>
      </c>
      <c r="H81" s="14">
        <f t="shared" ref="H81" si="63">H82</f>
        <v>1414414.71</v>
      </c>
      <c r="I81" s="14">
        <f t="shared" si="61"/>
        <v>0</v>
      </c>
      <c r="J81" s="14">
        <f t="shared" si="61"/>
        <v>851782</v>
      </c>
      <c r="K81" s="14">
        <f t="shared" si="61"/>
        <v>851782</v>
      </c>
      <c r="L81" s="14">
        <f t="shared" si="61"/>
        <v>0</v>
      </c>
      <c r="M81" s="14">
        <f t="shared" si="61"/>
        <v>873136</v>
      </c>
      <c r="N81" s="14">
        <f t="shared" si="61"/>
        <v>873136</v>
      </c>
    </row>
    <row r="82" spans="1:14" s="15" customFormat="1" ht="27" x14ac:dyDescent="0.2">
      <c r="A82" s="29" t="s">
        <v>251</v>
      </c>
      <c r="B82" s="30" t="s">
        <v>10</v>
      </c>
      <c r="C82" s="30" t="s">
        <v>73</v>
      </c>
      <c r="D82" s="30" t="s">
        <v>252</v>
      </c>
      <c r="E82" s="27"/>
      <c r="F82" s="13">
        <f t="shared" si="61"/>
        <v>0</v>
      </c>
      <c r="G82" s="13">
        <f>G83+G84</f>
        <v>1414414.71</v>
      </c>
      <c r="H82" s="13">
        <f t="shared" ref="H82:N82" si="64">H83+H84</f>
        <v>1414414.71</v>
      </c>
      <c r="I82" s="13">
        <f t="shared" si="64"/>
        <v>0</v>
      </c>
      <c r="J82" s="13">
        <f t="shared" si="64"/>
        <v>851782</v>
      </c>
      <c r="K82" s="13">
        <f t="shared" si="64"/>
        <v>851782</v>
      </c>
      <c r="L82" s="13">
        <f t="shared" si="64"/>
        <v>0</v>
      </c>
      <c r="M82" s="13">
        <f t="shared" si="64"/>
        <v>873136</v>
      </c>
      <c r="N82" s="13">
        <f t="shared" si="64"/>
        <v>873136</v>
      </c>
    </row>
    <row r="83" spans="1:14" s="15" customFormat="1" ht="13.5" x14ac:dyDescent="0.2">
      <c r="A83" s="16" t="s">
        <v>19</v>
      </c>
      <c r="B83" s="30" t="s">
        <v>10</v>
      </c>
      <c r="C83" s="30" t="s">
        <v>73</v>
      </c>
      <c r="D83" s="32" t="s">
        <v>252</v>
      </c>
      <c r="E83" s="31">
        <v>200</v>
      </c>
      <c r="F83" s="14">
        <v>0</v>
      </c>
      <c r="G83" s="14">
        <f>72000+407544+150000+27000+617870.71</f>
        <v>1274414.71</v>
      </c>
      <c r="H83" s="14">
        <f>F83+G83</f>
        <v>1274414.71</v>
      </c>
      <c r="I83" s="14">
        <v>0</v>
      </c>
      <c r="J83" s="14">
        <f>74592+453818+155400+27972</f>
        <v>711782</v>
      </c>
      <c r="K83" s="14">
        <f>I83+J83</f>
        <v>711782</v>
      </c>
      <c r="L83" s="14">
        <v>0</v>
      </c>
      <c r="M83" s="14">
        <f>76829+467433+160062+28812</f>
        <v>733136</v>
      </c>
      <c r="N83" s="14">
        <f>L83+M83</f>
        <v>733136</v>
      </c>
    </row>
    <row r="84" spans="1:14" s="15" customFormat="1" ht="15" customHeight="1" x14ac:dyDescent="0.2">
      <c r="A84" s="16" t="s">
        <v>253</v>
      </c>
      <c r="B84" s="30" t="s">
        <v>10</v>
      </c>
      <c r="C84" s="30" t="s">
        <v>73</v>
      </c>
      <c r="D84" s="32" t="s">
        <v>252</v>
      </c>
      <c r="E84" s="31">
        <v>300</v>
      </c>
      <c r="F84" s="14">
        <v>0</v>
      </c>
      <c r="G84" s="14">
        <v>140000</v>
      </c>
      <c r="H84" s="14">
        <f>F84+G84</f>
        <v>140000</v>
      </c>
      <c r="I84" s="14">
        <v>0</v>
      </c>
      <c r="J84" s="14">
        <v>140000</v>
      </c>
      <c r="K84" s="14">
        <f>I84+J84</f>
        <v>140000</v>
      </c>
      <c r="L84" s="14">
        <v>0</v>
      </c>
      <c r="M84" s="14">
        <v>140000</v>
      </c>
      <c r="N84" s="14">
        <f>L84+M84</f>
        <v>140000</v>
      </c>
    </row>
    <row r="85" spans="1:14" s="15" customFormat="1" ht="13.5" x14ac:dyDescent="0.2">
      <c r="A85" s="29" t="s">
        <v>254</v>
      </c>
      <c r="B85" s="27" t="s">
        <v>10</v>
      </c>
      <c r="C85" s="27" t="s">
        <v>73</v>
      </c>
      <c r="D85" s="27" t="s">
        <v>255</v>
      </c>
      <c r="E85" s="31"/>
      <c r="F85" s="12">
        <f t="shared" si="61"/>
        <v>0</v>
      </c>
      <c r="G85" s="12">
        <f>G86</f>
        <v>535685</v>
      </c>
      <c r="H85" s="12">
        <f t="shared" ref="H85:N85" si="65">H86</f>
        <v>535685</v>
      </c>
      <c r="I85" s="12">
        <f t="shared" si="65"/>
        <v>0</v>
      </c>
      <c r="J85" s="12">
        <f t="shared" si="65"/>
        <v>394243</v>
      </c>
      <c r="K85" s="12">
        <f t="shared" si="65"/>
        <v>394243</v>
      </c>
      <c r="L85" s="12">
        <f t="shared" si="65"/>
        <v>0</v>
      </c>
      <c r="M85" s="12">
        <f t="shared" si="65"/>
        <v>396742</v>
      </c>
      <c r="N85" s="12">
        <f t="shared" si="65"/>
        <v>396742</v>
      </c>
    </row>
    <row r="86" spans="1:14" s="15" customFormat="1" ht="20.25" customHeight="1" x14ac:dyDescent="0.2">
      <c r="A86" s="33" t="s">
        <v>256</v>
      </c>
      <c r="B86" s="32" t="s">
        <v>10</v>
      </c>
      <c r="C86" s="32" t="s">
        <v>73</v>
      </c>
      <c r="D86" s="32" t="s">
        <v>257</v>
      </c>
      <c r="E86" s="31"/>
      <c r="F86" s="12">
        <f t="shared" si="61"/>
        <v>0</v>
      </c>
      <c r="G86" s="12">
        <f>G87+G88</f>
        <v>535685</v>
      </c>
      <c r="H86" s="12">
        <f t="shared" ref="H86:N86" si="66">H87+H88</f>
        <v>535685</v>
      </c>
      <c r="I86" s="12">
        <f t="shared" si="66"/>
        <v>0</v>
      </c>
      <c r="J86" s="12">
        <f t="shared" si="66"/>
        <v>394243</v>
      </c>
      <c r="K86" s="12">
        <f t="shared" si="66"/>
        <v>394243</v>
      </c>
      <c r="L86" s="12">
        <f t="shared" si="66"/>
        <v>0</v>
      </c>
      <c r="M86" s="12">
        <f t="shared" si="66"/>
        <v>396742</v>
      </c>
      <c r="N86" s="12">
        <f t="shared" si="66"/>
        <v>396742</v>
      </c>
    </row>
    <row r="87" spans="1:14" s="15" customFormat="1" x14ac:dyDescent="0.2">
      <c r="A87" s="16" t="s">
        <v>19</v>
      </c>
      <c r="B87" s="32" t="s">
        <v>10</v>
      </c>
      <c r="C87" s="32" t="s">
        <v>73</v>
      </c>
      <c r="D87" s="32" t="s">
        <v>257</v>
      </c>
      <c r="E87" s="31">
        <v>200</v>
      </c>
      <c r="F87" s="14">
        <v>0</v>
      </c>
      <c r="G87" s="14">
        <v>415685</v>
      </c>
      <c r="H87" s="14">
        <f>F87+G87</f>
        <v>415685</v>
      </c>
      <c r="I87" s="14">
        <v>0</v>
      </c>
      <c r="J87" s="14">
        <v>269923</v>
      </c>
      <c r="K87" s="14">
        <f>I87+J87</f>
        <v>269923</v>
      </c>
      <c r="L87" s="14">
        <v>0</v>
      </c>
      <c r="M87" s="14">
        <v>268692</v>
      </c>
      <c r="N87" s="14">
        <f>L87+M87</f>
        <v>268692</v>
      </c>
    </row>
    <row r="88" spans="1:14" s="15" customFormat="1" ht="12" customHeight="1" x14ac:dyDescent="0.2">
      <c r="A88" s="16" t="s">
        <v>253</v>
      </c>
      <c r="B88" s="32" t="s">
        <v>10</v>
      </c>
      <c r="C88" s="32" t="s">
        <v>73</v>
      </c>
      <c r="D88" s="32" t="s">
        <v>257</v>
      </c>
      <c r="E88" s="31">
        <v>300</v>
      </c>
      <c r="F88" s="14">
        <v>0</v>
      </c>
      <c r="G88" s="14">
        <v>120000</v>
      </c>
      <c r="H88" s="14">
        <f>F88+G88</f>
        <v>120000</v>
      </c>
      <c r="I88" s="14">
        <v>0</v>
      </c>
      <c r="J88" s="14">
        <v>124320</v>
      </c>
      <c r="K88" s="14">
        <f>I88+J88</f>
        <v>124320</v>
      </c>
      <c r="L88" s="14">
        <v>0</v>
      </c>
      <c r="M88" s="14">
        <v>128050</v>
      </c>
      <c r="N88" s="14">
        <f>L88+M88</f>
        <v>128050</v>
      </c>
    </row>
    <row r="89" spans="1:14" s="15" customFormat="1" x14ac:dyDescent="0.2">
      <c r="A89" s="26" t="s">
        <v>11</v>
      </c>
      <c r="B89" s="27" t="s">
        <v>10</v>
      </c>
      <c r="C89" s="27" t="s">
        <v>73</v>
      </c>
      <c r="D89" s="27" t="s">
        <v>12</v>
      </c>
      <c r="E89" s="27" t="s">
        <v>0</v>
      </c>
      <c r="F89" s="12">
        <f t="shared" ref="F89:N89" si="67">F90</f>
        <v>2118733</v>
      </c>
      <c r="G89" s="12">
        <f t="shared" si="67"/>
        <v>-1332229</v>
      </c>
      <c r="H89" s="12">
        <f t="shared" si="67"/>
        <v>786504</v>
      </c>
      <c r="I89" s="12">
        <f t="shared" si="67"/>
        <v>1345481</v>
      </c>
      <c r="J89" s="12">
        <f t="shared" si="67"/>
        <v>-1246025</v>
      </c>
      <c r="K89" s="12">
        <f t="shared" si="67"/>
        <v>99456</v>
      </c>
      <c r="L89" s="12">
        <f t="shared" si="67"/>
        <v>1372318</v>
      </c>
      <c r="M89" s="12">
        <f t="shared" si="67"/>
        <v>-1269878</v>
      </c>
      <c r="N89" s="12">
        <f t="shared" si="67"/>
        <v>102440</v>
      </c>
    </row>
    <row r="90" spans="1:14" s="15" customFormat="1" x14ac:dyDescent="0.2">
      <c r="A90" s="26" t="s">
        <v>40</v>
      </c>
      <c r="B90" s="27" t="s">
        <v>10</v>
      </c>
      <c r="C90" s="27" t="s">
        <v>73</v>
      </c>
      <c r="D90" s="27" t="s">
        <v>41</v>
      </c>
      <c r="E90" s="27" t="s">
        <v>0</v>
      </c>
      <c r="F90" s="12">
        <f t="shared" ref="F90" si="68">F91+F95+F99</f>
        <v>2118733</v>
      </c>
      <c r="G90" s="12">
        <f>G91+G95+G99</f>
        <v>-1332229</v>
      </c>
      <c r="H90" s="12">
        <f t="shared" ref="H90:N90" si="69">H91+H95+H99</f>
        <v>786504</v>
      </c>
      <c r="I90" s="12">
        <f t="shared" si="69"/>
        <v>1345481</v>
      </c>
      <c r="J90" s="12">
        <f t="shared" si="69"/>
        <v>-1246025</v>
      </c>
      <c r="K90" s="12">
        <f t="shared" si="69"/>
        <v>99456</v>
      </c>
      <c r="L90" s="12">
        <f t="shared" si="69"/>
        <v>1372318</v>
      </c>
      <c r="M90" s="12">
        <f t="shared" si="69"/>
        <v>-1269878</v>
      </c>
      <c r="N90" s="12">
        <f t="shared" si="69"/>
        <v>102440</v>
      </c>
    </row>
    <row r="91" spans="1:14" s="15" customFormat="1" ht="15" customHeight="1" x14ac:dyDescent="0.2">
      <c r="A91" s="29" t="s">
        <v>80</v>
      </c>
      <c r="B91" s="30" t="s">
        <v>10</v>
      </c>
      <c r="C91" s="30" t="s">
        <v>73</v>
      </c>
      <c r="D91" s="30" t="s">
        <v>81</v>
      </c>
      <c r="E91" s="30" t="s">
        <v>0</v>
      </c>
      <c r="F91" s="13">
        <f t="shared" ref="F91" si="70">F92+F93+F94</f>
        <v>1487048</v>
      </c>
      <c r="G91" s="13">
        <f>G92+G93+G94</f>
        <v>-796544</v>
      </c>
      <c r="H91" s="13">
        <f t="shared" ref="H91:N91" si="71">H92+H93+H94</f>
        <v>690504</v>
      </c>
      <c r="I91" s="13">
        <f t="shared" si="71"/>
        <v>851782</v>
      </c>
      <c r="J91" s="13">
        <f t="shared" si="71"/>
        <v>-851782</v>
      </c>
      <c r="K91" s="13">
        <f t="shared" si="71"/>
        <v>0</v>
      </c>
      <c r="L91" s="13">
        <f t="shared" si="71"/>
        <v>873136</v>
      </c>
      <c r="M91" s="13">
        <f t="shared" si="71"/>
        <v>-873136</v>
      </c>
      <c r="N91" s="13">
        <f t="shared" si="71"/>
        <v>0</v>
      </c>
    </row>
    <row r="92" spans="1:14" s="15" customFormat="1" x14ac:dyDescent="0.2">
      <c r="A92" s="16" t="s">
        <v>19</v>
      </c>
      <c r="B92" s="31" t="s">
        <v>10</v>
      </c>
      <c r="C92" s="31" t="s">
        <v>73</v>
      </c>
      <c r="D92" s="31" t="s">
        <v>81</v>
      </c>
      <c r="E92" s="31" t="s">
        <v>20</v>
      </c>
      <c r="F92" s="17">
        <f>72000+438048+150000+27000+660000</f>
        <v>1347048</v>
      </c>
      <c r="G92" s="14">
        <f>-72000-407544-27000-150000</f>
        <v>-656544</v>
      </c>
      <c r="H92" s="17">
        <f>F92+G92</f>
        <v>690504</v>
      </c>
      <c r="I92" s="17">
        <f>74592+453818+155400+27972</f>
        <v>711782</v>
      </c>
      <c r="J92" s="17">
        <v>-711782</v>
      </c>
      <c r="K92" s="17">
        <f t="shared" ref="K92:K93" si="72">I92+J92</f>
        <v>0</v>
      </c>
      <c r="L92" s="17">
        <f>76829+467433+160062+28812</f>
        <v>733136</v>
      </c>
      <c r="M92" s="17">
        <v>-733136</v>
      </c>
      <c r="N92" s="17">
        <f>L92+M92</f>
        <v>0</v>
      </c>
    </row>
    <row r="93" spans="1:14" s="15" customFormat="1" x14ac:dyDescent="0.2">
      <c r="A93" s="16" t="s">
        <v>68</v>
      </c>
      <c r="B93" s="31" t="s">
        <v>10</v>
      </c>
      <c r="C93" s="31" t="s">
        <v>73</v>
      </c>
      <c r="D93" s="31" t="s">
        <v>81</v>
      </c>
      <c r="E93" s="31" t="s">
        <v>69</v>
      </c>
      <c r="F93" s="17">
        <v>140000</v>
      </c>
      <c r="G93" s="17">
        <v>-140000</v>
      </c>
      <c r="H93" s="17">
        <f>F93+G93</f>
        <v>0</v>
      </c>
      <c r="I93" s="17">
        <v>140000</v>
      </c>
      <c r="J93" s="17">
        <v>-140000</v>
      </c>
      <c r="K93" s="17">
        <f t="shared" si="72"/>
        <v>0</v>
      </c>
      <c r="L93" s="17">
        <v>140000</v>
      </c>
      <c r="M93" s="17">
        <v>-140000</v>
      </c>
      <c r="N93" s="17">
        <f>L93+M93</f>
        <v>0</v>
      </c>
    </row>
    <row r="94" spans="1:14" s="15" customFormat="1" hidden="1" outlineLevel="1" x14ac:dyDescent="0.2">
      <c r="A94" s="16" t="s">
        <v>82</v>
      </c>
      <c r="B94" s="31" t="s">
        <v>10</v>
      </c>
      <c r="C94" s="31" t="s">
        <v>73</v>
      </c>
      <c r="D94" s="31" t="s">
        <v>81</v>
      </c>
      <c r="E94" s="31" t="s">
        <v>83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</row>
    <row r="95" spans="1:14" s="15" customFormat="1" ht="13.5" collapsed="1" x14ac:dyDescent="0.2">
      <c r="A95" s="29" t="s">
        <v>84</v>
      </c>
      <c r="B95" s="30" t="s">
        <v>10</v>
      </c>
      <c r="C95" s="30" t="s">
        <v>73</v>
      </c>
      <c r="D95" s="30" t="s">
        <v>85</v>
      </c>
      <c r="E95" s="30" t="s">
        <v>0</v>
      </c>
      <c r="F95" s="13">
        <f t="shared" ref="F95:N95" si="73">F96+F97+F98</f>
        <v>535685</v>
      </c>
      <c r="G95" s="13">
        <f t="shared" si="73"/>
        <v>-535685</v>
      </c>
      <c r="H95" s="13">
        <f t="shared" si="73"/>
        <v>0</v>
      </c>
      <c r="I95" s="13">
        <f t="shared" si="73"/>
        <v>394243</v>
      </c>
      <c r="J95" s="13">
        <f t="shared" si="73"/>
        <v>-394243</v>
      </c>
      <c r="K95" s="13">
        <f t="shared" si="73"/>
        <v>0</v>
      </c>
      <c r="L95" s="13">
        <f t="shared" si="73"/>
        <v>396742</v>
      </c>
      <c r="M95" s="13">
        <f t="shared" si="73"/>
        <v>-396742</v>
      </c>
      <c r="N95" s="13">
        <f t="shared" si="73"/>
        <v>0</v>
      </c>
    </row>
    <row r="96" spans="1:14" s="15" customFormat="1" hidden="1" outlineLevel="1" x14ac:dyDescent="0.2">
      <c r="A96" s="16" t="s">
        <v>17</v>
      </c>
      <c r="B96" s="31" t="s">
        <v>10</v>
      </c>
      <c r="C96" s="31" t="s">
        <v>73</v>
      </c>
      <c r="D96" s="31" t="s">
        <v>85</v>
      </c>
      <c r="E96" s="31" t="s">
        <v>18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</row>
    <row r="97" spans="1:14" s="15" customFormat="1" collapsed="1" x14ac:dyDescent="0.2">
      <c r="A97" s="16" t="s">
        <v>19</v>
      </c>
      <c r="B97" s="31" t="s">
        <v>10</v>
      </c>
      <c r="C97" s="31" t="s">
        <v>73</v>
      </c>
      <c r="D97" s="31" t="s">
        <v>85</v>
      </c>
      <c r="E97" s="31" t="s">
        <v>20</v>
      </c>
      <c r="F97" s="17">
        <v>415685</v>
      </c>
      <c r="G97" s="17">
        <v>-415685</v>
      </c>
      <c r="H97" s="17">
        <f>F97+G97</f>
        <v>0</v>
      </c>
      <c r="I97" s="17">
        <v>269923</v>
      </c>
      <c r="J97" s="17">
        <v>-269923</v>
      </c>
      <c r="K97" s="17">
        <f t="shared" ref="K97:K98" si="74">I97+J97</f>
        <v>0</v>
      </c>
      <c r="L97" s="17">
        <v>268692</v>
      </c>
      <c r="M97" s="17">
        <v>-268692</v>
      </c>
      <c r="N97" s="17">
        <f>L97+M97</f>
        <v>0</v>
      </c>
    </row>
    <row r="98" spans="1:14" s="15" customFormat="1" x14ac:dyDescent="0.2">
      <c r="A98" s="16" t="s">
        <v>68</v>
      </c>
      <c r="B98" s="31" t="s">
        <v>10</v>
      </c>
      <c r="C98" s="31" t="s">
        <v>73</v>
      </c>
      <c r="D98" s="31" t="s">
        <v>85</v>
      </c>
      <c r="E98" s="31" t="s">
        <v>69</v>
      </c>
      <c r="F98" s="17">
        <v>120000</v>
      </c>
      <c r="G98" s="17">
        <v>-120000</v>
      </c>
      <c r="H98" s="17">
        <f>F98+G98</f>
        <v>0</v>
      </c>
      <c r="I98" s="17">
        <v>124320</v>
      </c>
      <c r="J98" s="17">
        <v>-124320</v>
      </c>
      <c r="K98" s="17">
        <f t="shared" si="74"/>
        <v>0</v>
      </c>
      <c r="L98" s="17">
        <v>128050</v>
      </c>
      <c r="M98" s="17">
        <v>-128050</v>
      </c>
      <c r="N98" s="17">
        <f>L98+M98</f>
        <v>0</v>
      </c>
    </row>
    <row r="99" spans="1:14" s="15" customFormat="1" ht="27" x14ac:dyDescent="0.2">
      <c r="A99" s="29" t="s">
        <v>66</v>
      </c>
      <c r="B99" s="30" t="s">
        <v>10</v>
      </c>
      <c r="C99" s="30">
        <v>14</v>
      </c>
      <c r="D99" s="30" t="s">
        <v>67</v>
      </c>
      <c r="E99" s="30" t="s">
        <v>0</v>
      </c>
      <c r="F99" s="13">
        <f t="shared" ref="F99:N99" si="75">F100</f>
        <v>96000</v>
      </c>
      <c r="G99" s="13">
        <f t="shared" si="75"/>
        <v>0</v>
      </c>
      <c r="H99" s="13">
        <f t="shared" si="75"/>
        <v>96000</v>
      </c>
      <c r="I99" s="13">
        <f t="shared" si="75"/>
        <v>99456</v>
      </c>
      <c r="J99" s="13">
        <f t="shared" si="75"/>
        <v>0</v>
      </c>
      <c r="K99" s="13">
        <f t="shared" si="75"/>
        <v>99456</v>
      </c>
      <c r="L99" s="13">
        <f t="shared" si="75"/>
        <v>102440</v>
      </c>
      <c r="M99" s="13">
        <f t="shared" si="75"/>
        <v>0</v>
      </c>
      <c r="N99" s="13">
        <f t="shared" si="75"/>
        <v>102440</v>
      </c>
    </row>
    <row r="100" spans="1:14" s="15" customFormat="1" x14ac:dyDescent="0.2">
      <c r="A100" s="16" t="s">
        <v>19</v>
      </c>
      <c r="B100" s="31" t="s">
        <v>10</v>
      </c>
      <c r="C100" s="31">
        <v>14</v>
      </c>
      <c r="D100" s="31" t="s">
        <v>67</v>
      </c>
      <c r="E100" s="31" t="s">
        <v>20</v>
      </c>
      <c r="F100" s="17">
        <v>96000</v>
      </c>
      <c r="G100" s="17">
        <v>0</v>
      </c>
      <c r="H100" s="17">
        <f>F100+G100</f>
        <v>96000</v>
      </c>
      <c r="I100" s="17">
        <v>99456</v>
      </c>
      <c r="J100" s="17">
        <v>0</v>
      </c>
      <c r="K100" s="17">
        <f>I100+J100</f>
        <v>99456</v>
      </c>
      <c r="L100" s="17">
        <v>102440</v>
      </c>
      <c r="M100" s="17">
        <v>0</v>
      </c>
      <c r="N100" s="17">
        <f>L100+M100</f>
        <v>102440</v>
      </c>
    </row>
    <row r="101" spans="1:14" s="15" customFormat="1" x14ac:dyDescent="0.2">
      <c r="A101" s="26" t="s">
        <v>212</v>
      </c>
      <c r="B101" s="27" t="s">
        <v>28</v>
      </c>
      <c r="C101" s="27" t="s">
        <v>0</v>
      </c>
      <c r="D101" s="27" t="s">
        <v>0</v>
      </c>
      <c r="E101" s="27" t="s">
        <v>0</v>
      </c>
      <c r="F101" s="12">
        <f>F107+F102+F113+F125</f>
        <v>167856374.19999999</v>
      </c>
      <c r="G101" s="12">
        <f>G107+G102+G113+G125</f>
        <v>5513542.6099999994</v>
      </c>
      <c r="H101" s="12">
        <f>H107+H102+H113+H125</f>
        <v>173369916.81</v>
      </c>
      <c r="I101" s="12">
        <f t="shared" ref="I101:L101" si="76">I107+I102+I113+I125</f>
        <v>116102093</v>
      </c>
      <c r="J101" s="12">
        <f>J107+J102+J113+J125</f>
        <v>0</v>
      </c>
      <c r="K101" s="12">
        <f>K107+K102+K113+K125</f>
        <v>116102093</v>
      </c>
      <c r="L101" s="12">
        <f t="shared" si="76"/>
        <v>119223350</v>
      </c>
      <c r="M101" s="12">
        <f>M107+M102+M113+M125</f>
        <v>0</v>
      </c>
      <c r="N101" s="12">
        <f>N107+N102+N113+N125</f>
        <v>119223350</v>
      </c>
    </row>
    <row r="102" spans="1:14" s="15" customFormat="1" x14ac:dyDescent="0.2">
      <c r="A102" s="26" t="s">
        <v>151</v>
      </c>
      <c r="B102" s="27" t="s">
        <v>28</v>
      </c>
      <c r="C102" s="27" t="s">
        <v>103</v>
      </c>
      <c r="D102" s="27" t="s">
        <v>0</v>
      </c>
      <c r="E102" s="27" t="s">
        <v>0</v>
      </c>
      <c r="F102" s="12">
        <f t="shared" ref="F102:N102" si="77">F103</f>
        <v>2088320</v>
      </c>
      <c r="G102" s="12">
        <f t="shared" si="77"/>
        <v>0</v>
      </c>
      <c r="H102" s="12">
        <f t="shared" si="77"/>
        <v>2088320</v>
      </c>
      <c r="I102" s="12">
        <f t="shared" si="77"/>
        <v>0</v>
      </c>
      <c r="J102" s="12">
        <f t="shared" si="77"/>
        <v>0</v>
      </c>
      <c r="K102" s="12">
        <f t="shared" si="77"/>
        <v>0</v>
      </c>
      <c r="L102" s="12">
        <f t="shared" si="77"/>
        <v>0</v>
      </c>
      <c r="M102" s="12">
        <f t="shared" si="77"/>
        <v>0</v>
      </c>
      <c r="N102" s="12">
        <f t="shared" si="77"/>
        <v>0</v>
      </c>
    </row>
    <row r="103" spans="1:14" s="15" customFormat="1" ht="25.5" x14ac:dyDescent="0.2">
      <c r="A103" s="26" t="s">
        <v>152</v>
      </c>
      <c r="B103" s="27" t="s">
        <v>28</v>
      </c>
      <c r="C103" s="27" t="s">
        <v>103</v>
      </c>
      <c r="D103" s="27" t="s">
        <v>153</v>
      </c>
      <c r="E103" s="27" t="s">
        <v>0</v>
      </c>
      <c r="F103" s="12">
        <f t="shared" ref="F103:H105" si="78">F104</f>
        <v>2088320</v>
      </c>
      <c r="G103" s="12">
        <f t="shared" si="78"/>
        <v>0</v>
      </c>
      <c r="H103" s="12">
        <f t="shared" si="78"/>
        <v>2088320</v>
      </c>
      <c r="I103" s="12">
        <f t="shared" ref="I103:L103" si="79">I104</f>
        <v>0</v>
      </c>
      <c r="J103" s="12">
        <f t="shared" ref="J103:K105" si="80">J104</f>
        <v>0</v>
      </c>
      <c r="K103" s="12">
        <f t="shared" si="80"/>
        <v>0</v>
      </c>
      <c r="L103" s="12">
        <f t="shared" si="79"/>
        <v>0</v>
      </c>
      <c r="M103" s="12">
        <f t="shared" ref="M103:N105" si="81">M104</f>
        <v>0</v>
      </c>
      <c r="N103" s="12">
        <f t="shared" si="81"/>
        <v>0</v>
      </c>
    </row>
    <row r="104" spans="1:14" s="15" customFormat="1" x14ac:dyDescent="0.2">
      <c r="A104" s="26" t="s">
        <v>224</v>
      </c>
      <c r="B104" s="27" t="s">
        <v>28</v>
      </c>
      <c r="C104" s="27" t="s">
        <v>103</v>
      </c>
      <c r="D104" s="27" t="s">
        <v>223</v>
      </c>
      <c r="E104" s="27" t="s">
        <v>0</v>
      </c>
      <c r="F104" s="12">
        <f t="shared" si="78"/>
        <v>2088320</v>
      </c>
      <c r="G104" s="12">
        <f t="shared" si="78"/>
        <v>0</v>
      </c>
      <c r="H104" s="12">
        <f t="shared" si="78"/>
        <v>2088320</v>
      </c>
      <c r="I104" s="12">
        <f>I105</f>
        <v>0</v>
      </c>
      <c r="J104" s="12">
        <f t="shared" si="80"/>
        <v>0</v>
      </c>
      <c r="K104" s="12">
        <f t="shared" si="80"/>
        <v>0</v>
      </c>
      <c r="L104" s="12">
        <f>L105</f>
        <v>0</v>
      </c>
      <c r="M104" s="12">
        <f t="shared" si="81"/>
        <v>0</v>
      </c>
      <c r="N104" s="12">
        <f t="shared" si="81"/>
        <v>0</v>
      </c>
    </row>
    <row r="105" spans="1:14" s="15" customFormat="1" ht="54" x14ac:dyDescent="0.2">
      <c r="A105" s="29" t="s">
        <v>154</v>
      </c>
      <c r="B105" s="30" t="s">
        <v>28</v>
      </c>
      <c r="C105" s="30" t="s">
        <v>103</v>
      </c>
      <c r="D105" s="30" t="s">
        <v>222</v>
      </c>
      <c r="E105" s="30" t="s">
        <v>0</v>
      </c>
      <c r="F105" s="13">
        <f t="shared" si="78"/>
        <v>2088320</v>
      </c>
      <c r="G105" s="13">
        <f t="shared" si="78"/>
        <v>0</v>
      </c>
      <c r="H105" s="13">
        <f t="shared" si="78"/>
        <v>2088320</v>
      </c>
      <c r="I105" s="13">
        <f>I106</f>
        <v>0</v>
      </c>
      <c r="J105" s="13">
        <f t="shared" si="80"/>
        <v>0</v>
      </c>
      <c r="K105" s="13">
        <f t="shared" si="80"/>
        <v>0</v>
      </c>
      <c r="L105" s="13">
        <f>L106</f>
        <v>0</v>
      </c>
      <c r="M105" s="13">
        <f t="shared" si="81"/>
        <v>0</v>
      </c>
      <c r="N105" s="13">
        <f t="shared" si="81"/>
        <v>0</v>
      </c>
    </row>
    <row r="106" spans="1:14" s="15" customFormat="1" x14ac:dyDescent="0.2">
      <c r="A106" s="16" t="s">
        <v>19</v>
      </c>
      <c r="B106" s="31" t="s">
        <v>28</v>
      </c>
      <c r="C106" s="31" t="s">
        <v>103</v>
      </c>
      <c r="D106" s="31" t="s">
        <v>222</v>
      </c>
      <c r="E106" s="31" t="s">
        <v>20</v>
      </c>
      <c r="F106" s="14">
        <v>2088320</v>
      </c>
      <c r="G106" s="14">
        <v>0</v>
      </c>
      <c r="H106" s="17">
        <f>F106+G106</f>
        <v>2088320</v>
      </c>
      <c r="I106" s="17">
        <v>0</v>
      </c>
      <c r="J106" s="14">
        <v>0</v>
      </c>
      <c r="K106" s="17">
        <f>I106+J106</f>
        <v>0</v>
      </c>
      <c r="L106" s="17">
        <v>0</v>
      </c>
      <c r="M106" s="14">
        <v>0</v>
      </c>
      <c r="N106" s="17">
        <f>L106+M106</f>
        <v>0</v>
      </c>
    </row>
    <row r="107" spans="1:14" s="15" customFormat="1" x14ac:dyDescent="0.2">
      <c r="A107" s="26" t="s">
        <v>86</v>
      </c>
      <c r="B107" s="27" t="s">
        <v>28</v>
      </c>
      <c r="C107" s="27" t="s">
        <v>87</v>
      </c>
      <c r="D107" s="27" t="s">
        <v>0</v>
      </c>
      <c r="E107" s="27" t="s">
        <v>0</v>
      </c>
      <c r="F107" s="12">
        <f t="shared" ref="F107:N110" si="82">F108</f>
        <v>16377407</v>
      </c>
      <c r="G107" s="12">
        <f t="shared" si="82"/>
        <v>0</v>
      </c>
      <c r="H107" s="12">
        <f t="shared" si="82"/>
        <v>16377407</v>
      </c>
      <c r="I107" s="12">
        <f t="shared" ref="I107:L109" si="83">I108</f>
        <v>16377407</v>
      </c>
      <c r="J107" s="12">
        <f t="shared" si="82"/>
        <v>0</v>
      </c>
      <c r="K107" s="12">
        <f t="shared" si="82"/>
        <v>16377407</v>
      </c>
      <c r="L107" s="12">
        <f t="shared" si="83"/>
        <v>16377407</v>
      </c>
      <c r="M107" s="12">
        <f t="shared" si="82"/>
        <v>0</v>
      </c>
      <c r="N107" s="12">
        <f t="shared" si="82"/>
        <v>16377407</v>
      </c>
    </row>
    <row r="108" spans="1:14" s="15" customFormat="1" x14ac:dyDescent="0.2">
      <c r="A108" s="26" t="s">
        <v>11</v>
      </c>
      <c r="B108" s="27" t="s">
        <v>28</v>
      </c>
      <c r="C108" s="27" t="s">
        <v>87</v>
      </c>
      <c r="D108" s="27" t="s">
        <v>12</v>
      </c>
      <c r="E108" s="27" t="s">
        <v>0</v>
      </c>
      <c r="F108" s="12">
        <f t="shared" si="82"/>
        <v>16377407</v>
      </c>
      <c r="G108" s="12">
        <f t="shared" si="82"/>
        <v>0</v>
      </c>
      <c r="H108" s="12">
        <f t="shared" si="82"/>
        <v>16377407</v>
      </c>
      <c r="I108" s="12">
        <f t="shared" si="83"/>
        <v>16377407</v>
      </c>
      <c r="J108" s="12">
        <f t="shared" si="82"/>
        <v>0</v>
      </c>
      <c r="K108" s="12">
        <f t="shared" si="82"/>
        <v>16377407</v>
      </c>
      <c r="L108" s="12">
        <f t="shared" si="83"/>
        <v>16377407</v>
      </c>
      <c r="M108" s="12">
        <f t="shared" si="82"/>
        <v>0</v>
      </c>
      <c r="N108" s="12">
        <f t="shared" si="82"/>
        <v>16377407</v>
      </c>
    </row>
    <row r="109" spans="1:14" s="15" customFormat="1" x14ac:dyDescent="0.2">
      <c r="A109" s="26" t="s">
        <v>40</v>
      </c>
      <c r="B109" s="27" t="s">
        <v>28</v>
      </c>
      <c r="C109" s="27" t="s">
        <v>87</v>
      </c>
      <c r="D109" s="27" t="s">
        <v>41</v>
      </c>
      <c r="E109" s="27" t="s">
        <v>0</v>
      </c>
      <c r="F109" s="12">
        <f t="shared" si="82"/>
        <v>16377407</v>
      </c>
      <c r="G109" s="12">
        <f t="shared" si="82"/>
        <v>0</v>
      </c>
      <c r="H109" s="12">
        <f t="shared" si="82"/>
        <v>16377407</v>
      </c>
      <c r="I109" s="12">
        <f t="shared" si="83"/>
        <v>16377407</v>
      </c>
      <c r="J109" s="12">
        <f t="shared" si="82"/>
        <v>0</v>
      </c>
      <c r="K109" s="12">
        <f t="shared" si="82"/>
        <v>16377407</v>
      </c>
      <c r="L109" s="12">
        <f t="shared" si="83"/>
        <v>16377407</v>
      </c>
      <c r="M109" s="12">
        <f t="shared" si="82"/>
        <v>0</v>
      </c>
      <c r="N109" s="12">
        <f t="shared" si="82"/>
        <v>16377407</v>
      </c>
    </row>
    <row r="110" spans="1:14" s="15" customFormat="1" ht="13.5" x14ac:dyDescent="0.2">
      <c r="A110" s="29" t="s">
        <v>84</v>
      </c>
      <c r="B110" s="30" t="s">
        <v>28</v>
      </c>
      <c r="C110" s="30" t="s">
        <v>87</v>
      </c>
      <c r="D110" s="30" t="s">
        <v>85</v>
      </c>
      <c r="E110" s="30" t="s">
        <v>0</v>
      </c>
      <c r="F110" s="13">
        <f>F111+F112</f>
        <v>16377407</v>
      </c>
      <c r="G110" s="13">
        <f>G111+G112</f>
        <v>0</v>
      </c>
      <c r="H110" s="13">
        <f>H111+H112</f>
        <v>16377407</v>
      </c>
      <c r="I110" s="13">
        <f>I111+I112</f>
        <v>16377407</v>
      </c>
      <c r="J110" s="13">
        <f t="shared" si="82"/>
        <v>0</v>
      </c>
      <c r="K110" s="13">
        <f>K111+K112</f>
        <v>16377407</v>
      </c>
      <c r="L110" s="13">
        <f>L111+L112</f>
        <v>16377407</v>
      </c>
      <c r="M110" s="13">
        <f>M111+M112</f>
        <v>0</v>
      </c>
      <c r="N110" s="13">
        <f>N111+N112</f>
        <v>16377407</v>
      </c>
    </row>
    <row r="111" spans="1:14" s="15" customFormat="1" x14ac:dyDescent="0.2">
      <c r="A111" s="16" t="s">
        <v>19</v>
      </c>
      <c r="B111" s="31" t="s">
        <v>28</v>
      </c>
      <c r="C111" s="31" t="s">
        <v>87</v>
      </c>
      <c r="D111" s="31" t="s">
        <v>85</v>
      </c>
      <c r="E111" s="31" t="s">
        <v>20</v>
      </c>
      <c r="F111" s="17">
        <v>16377407</v>
      </c>
      <c r="G111" s="17">
        <v>-1420874.5</v>
      </c>
      <c r="H111" s="17">
        <f>F111+G111</f>
        <v>14956532.5</v>
      </c>
      <c r="I111" s="17">
        <v>16377407</v>
      </c>
      <c r="J111" s="17">
        <v>0</v>
      </c>
      <c r="K111" s="17">
        <f>I111+J111</f>
        <v>16377407</v>
      </c>
      <c r="L111" s="17">
        <v>16377407</v>
      </c>
      <c r="M111" s="17">
        <v>0</v>
      </c>
      <c r="N111" s="17">
        <f>L111+M111</f>
        <v>16377407</v>
      </c>
    </row>
    <row r="112" spans="1:14" s="15" customFormat="1" x14ac:dyDescent="0.2">
      <c r="A112" s="16" t="s">
        <v>36</v>
      </c>
      <c r="B112" s="31" t="s">
        <v>28</v>
      </c>
      <c r="C112" s="31" t="s">
        <v>87</v>
      </c>
      <c r="D112" s="31" t="s">
        <v>85</v>
      </c>
      <c r="E112" s="31">
        <v>800</v>
      </c>
      <c r="F112" s="17">
        <v>0</v>
      </c>
      <c r="G112" s="17">
        <v>1420874.5</v>
      </c>
      <c r="H112" s="17">
        <f>F112+G112</f>
        <v>1420874.5</v>
      </c>
      <c r="I112" s="17">
        <v>0</v>
      </c>
      <c r="J112" s="17">
        <v>0</v>
      </c>
      <c r="K112" s="17">
        <f>I112+J112</f>
        <v>0</v>
      </c>
      <c r="L112" s="17">
        <v>0</v>
      </c>
      <c r="M112" s="17">
        <v>0</v>
      </c>
      <c r="N112" s="17">
        <f>L112+M112</f>
        <v>0</v>
      </c>
    </row>
    <row r="113" spans="1:14" s="15" customFormat="1" x14ac:dyDescent="0.2">
      <c r="A113" s="26" t="s">
        <v>155</v>
      </c>
      <c r="B113" s="27" t="s">
        <v>28</v>
      </c>
      <c r="C113" s="27" t="s">
        <v>156</v>
      </c>
      <c r="D113" s="27" t="s">
        <v>0</v>
      </c>
      <c r="E113" s="27" t="s">
        <v>0</v>
      </c>
      <c r="F113" s="12">
        <f t="shared" ref="F113:N113" si="84">F114+F118</f>
        <v>146298816.19999999</v>
      </c>
      <c r="G113" s="12">
        <f t="shared" si="84"/>
        <v>5187594.93</v>
      </c>
      <c r="H113" s="12">
        <f>H114+H118</f>
        <v>151486411.13</v>
      </c>
      <c r="I113" s="12">
        <f t="shared" si="84"/>
        <v>97729663</v>
      </c>
      <c r="J113" s="12">
        <f t="shared" si="84"/>
        <v>0</v>
      </c>
      <c r="K113" s="12">
        <f t="shared" si="84"/>
        <v>97729663</v>
      </c>
      <c r="L113" s="12">
        <f t="shared" si="84"/>
        <v>101095260</v>
      </c>
      <c r="M113" s="12">
        <f t="shared" si="84"/>
        <v>0</v>
      </c>
      <c r="N113" s="12">
        <f t="shared" si="84"/>
        <v>101095260</v>
      </c>
    </row>
    <row r="114" spans="1:14" s="15" customFormat="1" x14ac:dyDescent="0.2">
      <c r="A114" s="26" t="s">
        <v>157</v>
      </c>
      <c r="B114" s="27" t="s">
        <v>28</v>
      </c>
      <c r="C114" s="27" t="s">
        <v>156</v>
      </c>
      <c r="D114" s="27" t="s">
        <v>158</v>
      </c>
      <c r="E114" s="27" t="s">
        <v>0</v>
      </c>
      <c r="F114" s="12">
        <f t="shared" ref="F114:N116" si="85">F115</f>
        <v>62240000</v>
      </c>
      <c r="G114" s="12">
        <f t="shared" si="85"/>
        <v>0</v>
      </c>
      <c r="H114" s="12">
        <f t="shared" si="85"/>
        <v>62240000</v>
      </c>
      <c r="I114" s="12">
        <f t="shared" si="85"/>
        <v>3538421</v>
      </c>
      <c r="J114" s="12">
        <f t="shared" si="85"/>
        <v>0</v>
      </c>
      <c r="K114" s="12">
        <f t="shared" si="85"/>
        <v>3538421</v>
      </c>
      <c r="L114" s="12">
        <f t="shared" si="85"/>
        <v>4078281</v>
      </c>
      <c r="M114" s="12">
        <f t="shared" si="85"/>
        <v>0</v>
      </c>
      <c r="N114" s="12">
        <f t="shared" si="85"/>
        <v>4078281</v>
      </c>
    </row>
    <row r="115" spans="1:14" s="15" customFormat="1" x14ac:dyDescent="0.2">
      <c r="A115" s="26" t="s">
        <v>159</v>
      </c>
      <c r="B115" s="27" t="s">
        <v>28</v>
      </c>
      <c r="C115" s="27" t="s">
        <v>156</v>
      </c>
      <c r="D115" s="27" t="s">
        <v>160</v>
      </c>
      <c r="E115" s="27" t="s">
        <v>0</v>
      </c>
      <c r="F115" s="12">
        <f t="shared" si="85"/>
        <v>62240000</v>
      </c>
      <c r="G115" s="12">
        <f t="shared" si="85"/>
        <v>0</v>
      </c>
      <c r="H115" s="12">
        <f t="shared" si="85"/>
        <v>62240000</v>
      </c>
      <c r="I115" s="12">
        <f t="shared" si="85"/>
        <v>3538421</v>
      </c>
      <c r="J115" s="12">
        <f t="shared" si="85"/>
        <v>0</v>
      </c>
      <c r="K115" s="12">
        <f t="shared" si="85"/>
        <v>3538421</v>
      </c>
      <c r="L115" s="12">
        <f t="shared" si="85"/>
        <v>4078281</v>
      </c>
      <c r="M115" s="12">
        <f t="shared" si="85"/>
        <v>0</v>
      </c>
      <c r="N115" s="12">
        <f t="shared" si="85"/>
        <v>4078281</v>
      </c>
    </row>
    <row r="116" spans="1:14" s="15" customFormat="1" ht="38.25" customHeight="1" x14ac:dyDescent="0.2">
      <c r="A116" s="29" t="s">
        <v>161</v>
      </c>
      <c r="B116" s="30" t="s">
        <v>28</v>
      </c>
      <c r="C116" s="30" t="s">
        <v>156</v>
      </c>
      <c r="D116" s="30" t="s">
        <v>162</v>
      </c>
      <c r="E116" s="30" t="s">
        <v>0</v>
      </c>
      <c r="F116" s="13">
        <f t="shared" si="85"/>
        <v>62240000</v>
      </c>
      <c r="G116" s="13">
        <f t="shared" si="85"/>
        <v>0</v>
      </c>
      <c r="H116" s="13">
        <f t="shared" si="85"/>
        <v>62240000</v>
      </c>
      <c r="I116" s="13">
        <f t="shared" si="85"/>
        <v>3538421</v>
      </c>
      <c r="J116" s="13">
        <f t="shared" si="85"/>
        <v>0</v>
      </c>
      <c r="K116" s="13">
        <f t="shared" si="85"/>
        <v>3538421</v>
      </c>
      <c r="L116" s="13">
        <f t="shared" si="85"/>
        <v>4078281</v>
      </c>
      <c r="M116" s="13">
        <f t="shared" si="85"/>
        <v>0</v>
      </c>
      <c r="N116" s="13">
        <f t="shared" si="85"/>
        <v>4078281</v>
      </c>
    </row>
    <row r="117" spans="1:14" s="15" customFormat="1" x14ac:dyDescent="0.2">
      <c r="A117" s="16" t="s">
        <v>19</v>
      </c>
      <c r="B117" s="31" t="s">
        <v>28</v>
      </c>
      <c r="C117" s="31" t="s">
        <v>156</v>
      </c>
      <c r="D117" s="31" t="s">
        <v>162</v>
      </c>
      <c r="E117" s="31" t="s">
        <v>20</v>
      </c>
      <c r="F117" s="17">
        <f>22240000+20000000+20000000</f>
        <v>62240000</v>
      </c>
      <c r="G117" s="17">
        <v>0</v>
      </c>
      <c r="H117" s="17">
        <f>F117+G117</f>
        <v>62240000</v>
      </c>
      <c r="I117" s="17">
        <v>3538421</v>
      </c>
      <c r="J117" s="17">
        <v>0</v>
      </c>
      <c r="K117" s="17">
        <f>I117+J117</f>
        <v>3538421</v>
      </c>
      <c r="L117" s="17">
        <v>4078281</v>
      </c>
      <c r="M117" s="17">
        <v>0</v>
      </c>
      <c r="N117" s="17">
        <f>L117+M117</f>
        <v>4078281</v>
      </c>
    </row>
    <row r="118" spans="1:14" s="15" customFormat="1" ht="25.5" x14ac:dyDescent="0.2">
      <c r="A118" s="26" t="s">
        <v>163</v>
      </c>
      <c r="B118" s="27" t="s">
        <v>28</v>
      </c>
      <c r="C118" s="27" t="s">
        <v>156</v>
      </c>
      <c r="D118" s="27" t="s">
        <v>164</v>
      </c>
      <c r="E118" s="27" t="s">
        <v>0</v>
      </c>
      <c r="F118" s="12">
        <f t="shared" ref="F118:N118" si="86">F119</f>
        <v>84058816.200000003</v>
      </c>
      <c r="G118" s="12">
        <f t="shared" si="86"/>
        <v>5187594.93</v>
      </c>
      <c r="H118" s="12">
        <f t="shared" si="86"/>
        <v>89246411.129999995</v>
      </c>
      <c r="I118" s="12">
        <f t="shared" si="86"/>
        <v>94191242</v>
      </c>
      <c r="J118" s="12">
        <f t="shared" si="86"/>
        <v>0</v>
      </c>
      <c r="K118" s="12">
        <f t="shared" si="86"/>
        <v>94191242</v>
      </c>
      <c r="L118" s="12">
        <f t="shared" si="86"/>
        <v>97016979</v>
      </c>
      <c r="M118" s="12">
        <f t="shared" si="86"/>
        <v>0</v>
      </c>
      <c r="N118" s="12">
        <f t="shared" si="86"/>
        <v>97016979</v>
      </c>
    </row>
    <row r="119" spans="1:14" s="15" customFormat="1" ht="25.5" x14ac:dyDescent="0.2">
      <c r="A119" s="26" t="s">
        <v>165</v>
      </c>
      <c r="B119" s="27" t="s">
        <v>28</v>
      </c>
      <c r="C119" s="27" t="s">
        <v>156</v>
      </c>
      <c r="D119" s="27" t="s">
        <v>166</v>
      </c>
      <c r="E119" s="27" t="s">
        <v>0</v>
      </c>
      <c r="F119" s="12">
        <f t="shared" ref="F119:N119" si="87">F120+F123</f>
        <v>84058816.200000003</v>
      </c>
      <c r="G119" s="12">
        <f t="shared" si="87"/>
        <v>5187594.93</v>
      </c>
      <c r="H119" s="12">
        <f t="shared" si="87"/>
        <v>89246411.129999995</v>
      </c>
      <c r="I119" s="12">
        <f t="shared" si="87"/>
        <v>94191242</v>
      </c>
      <c r="J119" s="12">
        <f t="shared" si="87"/>
        <v>0</v>
      </c>
      <c r="K119" s="12">
        <f t="shared" si="87"/>
        <v>94191242</v>
      </c>
      <c r="L119" s="12">
        <f t="shared" si="87"/>
        <v>97016979</v>
      </c>
      <c r="M119" s="12">
        <f t="shared" si="87"/>
        <v>0</v>
      </c>
      <c r="N119" s="12">
        <f t="shared" si="87"/>
        <v>97016979</v>
      </c>
    </row>
    <row r="120" spans="1:14" s="15" customFormat="1" ht="27" x14ac:dyDescent="0.2">
      <c r="A120" s="29" t="s">
        <v>167</v>
      </c>
      <c r="B120" s="30" t="s">
        <v>28</v>
      </c>
      <c r="C120" s="30" t="s">
        <v>156</v>
      </c>
      <c r="D120" s="30" t="s">
        <v>168</v>
      </c>
      <c r="E120" s="30" t="s">
        <v>0</v>
      </c>
      <c r="F120" s="13">
        <f t="shared" ref="F120:N120" si="88">F121+F122</f>
        <v>84058816.200000003</v>
      </c>
      <c r="G120" s="13">
        <f t="shared" si="88"/>
        <v>5187594.93</v>
      </c>
      <c r="H120" s="13">
        <f t="shared" si="88"/>
        <v>89246411.129999995</v>
      </c>
      <c r="I120" s="13">
        <f t="shared" si="88"/>
        <v>94191242</v>
      </c>
      <c r="J120" s="13">
        <f t="shared" si="88"/>
        <v>0</v>
      </c>
      <c r="K120" s="13">
        <f t="shared" si="88"/>
        <v>94191242</v>
      </c>
      <c r="L120" s="13">
        <f t="shared" si="88"/>
        <v>97016979</v>
      </c>
      <c r="M120" s="13">
        <f t="shared" si="88"/>
        <v>0</v>
      </c>
      <c r="N120" s="13">
        <f t="shared" si="88"/>
        <v>97016979</v>
      </c>
    </row>
    <row r="121" spans="1:14" s="15" customFormat="1" x14ac:dyDescent="0.2">
      <c r="A121" s="16" t="s">
        <v>19</v>
      </c>
      <c r="B121" s="31" t="s">
        <v>28</v>
      </c>
      <c r="C121" s="31" t="s">
        <v>156</v>
      </c>
      <c r="D121" s="31" t="s">
        <v>168</v>
      </c>
      <c r="E121" s="31" t="s">
        <v>20</v>
      </c>
      <c r="F121" s="17">
        <f>700000+79915751.2+1200000+2243065</f>
        <v>84058816.200000003</v>
      </c>
      <c r="G121" s="17">
        <v>5187594.93</v>
      </c>
      <c r="H121" s="17">
        <f>F121+G121</f>
        <v>89246411.129999995</v>
      </c>
      <c r="I121" s="17">
        <f>763803+93427439</f>
        <v>94191242</v>
      </c>
      <c r="J121" s="17">
        <v>0</v>
      </c>
      <c r="K121" s="17">
        <f>I121+J121</f>
        <v>94191242</v>
      </c>
      <c r="L121" s="17">
        <f>786717+96230262</f>
        <v>97016979</v>
      </c>
      <c r="M121" s="17">
        <v>0</v>
      </c>
      <c r="N121" s="17">
        <f>L121+M121</f>
        <v>97016979</v>
      </c>
    </row>
    <row r="122" spans="1:14" s="15" customFormat="1" ht="27.75" hidden="1" customHeight="1" outlineLevel="1" x14ac:dyDescent="0.2">
      <c r="A122" s="16" t="s">
        <v>262</v>
      </c>
      <c r="B122" s="31" t="s">
        <v>28</v>
      </c>
      <c r="C122" s="31" t="s">
        <v>156</v>
      </c>
      <c r="D122" s="31" t="s">
        <v>168</v>
      </c>
      <c r="E122" s="31" t="s">
        <v>35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</row>
    <row r="123" spans="1:14" s="15" customFormat="1" ht="36.75" hidden="1" customHeight="1" outlineLevel="1" x14ac:dyDescent="0.2">
      <c r="A123" s="29" t="s">
        <v>169</v>
      </c>
      <c r="B123" s="30" t="s">
        <v>28</v>
      </c>
      <c r="C123" s="30" t="s">
        <v>156</v>
      </c>
      <c r="D123" s="30" t="s">
        <v>170</v>
      </c>
      <c r="E123" s="30" t="s">
        <v>0</v>
      </c>
      <c r="F123" s="19">
        <f t="shared" ref="F123:N123" si="89">F124</f>
        <v>0</v>
      </c>
      <c r="G123" s="19">
        <f t="shared" si="89"/>
        <v>0</v>
      </c>
      <c r="H123" s="19">
        <f t="shared" si="89"/>
        <v>0</v>
      </c>
      <c r="I123" s="19">
        <f t="shared" si="89"/>
        <v>0</v>
      </c>
      <c r="J123" s="19">
        <f t="shared" si="89"/>
        <v>0</v>
      </c>
      <c r="K123" s="19">
        <f t="shared" si="89"/>
        <v>0</v>
      </c>
      <c r="L123" s="19">
        <f t="shared" si="89"/>
        <v>0</v>
      </c>
      <c r="M123" s="19">
        <f t="shared" si="89"/>
        <v>0</v>
      </c>
      <c r="N123" s="19">
        <f t="shared" si="89"/>
        <v>0</v>
      </c>
    </row>
    <row r="124" spans="1:14" s="15" customFormat="1" ht="15.75" hidden="1" customHeight="1" outlineLevel="1" x14ac:dyDescent="0.2">
      <c r="A124" s="16" t="s">
        <v>19</v>
      </c>
      <c r="B124" s="31" t="s">
        <v>28</v>
      </c>
      <c r="C124" s="31" t="s">
        <v>156</v>
      </c>
      <c r="D124" s="31" t="s">
        <v>170</v>
      </c>
      <c r="E124" s="31" t="s">
        <v>20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</row>
    <row r="125" spans="1:14" s="15" customFormat="1" ht="12.75" customHeight="1" collapsed="1" x14ac:dyDescent="0.2">
      <c r="A125" s="26" t="s">
        <v>88</v>
      </c>
      <c r="B125" s="27" t="s">
        <v>28</v>
      </c>
      <c r="C125" s="27" t="s">
        <v>89</v>
      </c>
      <c r="D125" s="31"/>
      <c r="E125" s="31"/>
      <c r="F125" s="56">
        <f>F126+F130</f>
        <v>3091831</v>
      </c>
      <c r="G125" s="56">
        <f>G126+G130</f>
        <v>325947.68</v>
      </c>
      <c r="H125" s="56">
        <f>H126+H130</f>
        <v>3417778.68</v>
      </c>
      <c r="I125" s="56">
        <f t="shared" ref="I125:L125" si="90">I126+I130</f>
        <v>1995023</v>
      </c>
      <c r="J125" s="56">
        <f>J126+J130</f>
        <v>0</v>
      </c>
      <c r="K125" s="56">
        <f>K126+K130</f>
        <v>1995023</v>
      </c>
      <c r="L125" s="56">
        <f t="shared" si="90"/>
        <v>1750683</v>
      </c>
      <c r="M125" s="56">
        <f>M126+M130</f>
        <v>0</v>
      </c>
      <c r="N125" s="56">
        <f>N126+N130</f>
        <v>1750683</v>
      </c>
    </row>
    <row r="126" spans="1:14" s="15" customFormat="1" ht="25.5" x14ac:dyDescent="0.2">
      <c r="A126" s="26" t="s">
        <v>90</v>
      </c>
      <c r="B126" s="27" t="s">
        <v>28</v>
      </c>
      <c r="C126" s="27" t="s">
        <v>89</v>
      </c>
      <c r="D126" s="27" t="s">
        <v>91</v>
      </c>
      <c r="E126" s="27" t="s">
        <v>0</v>
      </c>
      <c r="F126" s="12">
        <f t="shared" ref="F126:N128" si="91">F127</f>
        <v>2391831</v>
      </c>
      <c r="G126" s="12">
        <f t="shared" si="91"/>
        <v>325947.68</v>
      </c>
      <c r="H126" s="12">
        <f t="shared" si="91"/>
        <v>2717778.68</v>
      </c>
      <c r="I126" s="12">
        <f t="shared" ref="I126:L128" si="92">I127</f>
        <v>1295023</v>
      </c>
      <c r="J126" s="12">
        <f t="shared" si="91"/>
        <v>0</v>
      </c>
      <c r="K126" s="12">
        <f t="shared" si="91"/>
        <v>1295023</v>
      </c>
      <c r="L126" s="12">
        <f t="shared" si="92"/>
        <v>1050683</v>
      </c>
      <c r="M126" s="12">
        <f t="shared" si="91"/>
        <v>0</v>
      </c>
      <c r="N126" s="12">
        <f t="shared" si="91"/>
        <v>1050683</v>
      </c>
    </row>
    <row r="127" spans="1:14" s="15" customFormat="1" ht="25.5" x14ac:dyDescent="0.2">
      <c r="A127" s="26" t="s">
        <v>92</v>
      </c>
      <c r="B127" s="27" t="s">
        <v>28</v>
      </c>
      <c r="C127" s="27" t="s">
        <v>89</v>
      </c>
      <c r="D127" s="27" t="s">
        <v>93</v>
      </c>
      <c r="E127" s="27" t="s">
        <v>0</v>
      </c>
      <c r="F127" s="12">
        <f t="shared" si="91"/>
        <v>2391831</v>
      </c>
      <c r="G127" s="12">
        <f t="shared" si="91"/>
        <v>325947.68</v>
      </c>
      <c r="H127" s="12">
        <f t="shared" si="91"/>
        <v>2717778.68</v>
      </c>
      <c r="I127" s="12">
        <f t="shared" si="92"/>
        <v>1295023</v>
      </c>
      <c r="J127" s="12">
        <f t="shared" si="91"/>
        <v>0</v>
      </c>
      <c r="K127" s="12">
        <f t="shared" si="91"/>
        <v>1295023</v>
      </c>
      <c r="L127" s="12">
        <f t="shared" si="92"/>
        <v>1050683</v>
      </c>
      <c r="M127" s="12">
        <f t="shared" si="91"/>
        <v>0</v>
      </c>
      <c r="N127" s="12">
        <f t="shared" si="91"/>
        <v>1050683</v>
      </c>
    </row>
    <row r="128" spans="1:14" s="15" customFormat="1" ht="27" x14ac:dyDescent="0.2">
      <c r="A128" s="29" t="s">
        <v>94</v>
      </c>
      <c r="B128" s="30" t="s">
        <v>28</v>
      </c>
      <c r="C128" s="30" t="s">
        <v>89</v>
      </c>
      <c r="D128" s="30" t="s">
        <v>95</v>
      </c>
      <c r="E128" s="30" t="s">
        <v>0</v>
      </c>
      <c r="F128" s="13">
        <f t="shared" si="91"/>
        <v>2391831</v>
      </c>
      <c r="G128" s="13">
        <f t="shared" si="91"/>
        <v>325947.68</v>
      </c>
      <c r="H128" s="13">
        <f t="shared" si="91"/>
        <v>2717778.68</v>
      </c>
      <c r="I128" s="13">
        <f t="shared" si="92"/>
        <v>1295023</v>
      </c>
      <c r="J128" s="13">
        <f t="shared" si="91"/>
        <v>0</v>
      </c>
      <c r="K128" s="13">
        <f t="shared" si="91"/>
        <v>1295023</v>
      </c>
      <c r="L128" s="13">
        <f t="shared" si="92"/>
        <v>1050683</v>
      </c>
      <c r="M128" s="13">
        <f t="shared" si="91"/>
        <v>0</v>
      </c>
      <c r="N128" s="13">
        <f t="shared" si="91"/>
        <v>1050683</v>
      </c>
    </row>
    <row r="129" spans="1:14" s="15" customFormat="1" x14ac:dyDescent="0.2">
      <c r="A129" s="16" t="s">
        <v>19</v>
      </c>
      <c r="B129" s="31" t="s">
        <v>28</v>
      </c>
      <c r="C129" s="31" t="s">
        <v>89</v>
      </c>
      <c r="D129" s="31" t="s">
        <v>95</v>
      </c>
      <c r="E129" s="31" t="s">
        <v>20</v>
      </c>
      <c r="F129" s="17">
        <v>2391831</v>
      </c>
      <c r="G129" s="17">
        <v>325947.68</v>
      </c>
      <c r="H129" s="17">
        <f>F129+G129</f>
        <v>2717778.68</v>
      </c>
      <c r="I129" s="17">
        <v>1295023</v>
      </c>
      <c r="J129" s="17">
        <v>0</v>
      </c>
      <c r="K129" s="17">
        <f>I129+J129</f>
        <v>1295023</v>
      </c>
      <c r="L129" s="17">
        <v>1050683</v>
      </c>
      <c r="M129" s="17">
        <v>0</v>
      </c>
      <c r="N129" s="17">
        <f>L129+M129</f>
        <v>1050683</v>
      </c>
    </row>
    <row r="130" spans="1:14" s="15" customFormat="1" x14ac:dyDescent="0.2">
      <c r="A130" s="26" t="s">
        <v>96</v>
      </c>
      <c r="B130" s="27" t="s">
        <v>28</v>
      </c>
      <c r="C130" s="27" t="s">
        <v>89</v>
      </c>
      <c r="D130" s="27" t="s">
        <v>97</v>
      </c>
      <c r="E130" s="27" t="s">
        <v>0</v>
      </c>
      <c r="F130" s="12">
        <f t="shared" ref="F130:N130" si="93">F131</f>
        <v>700000</v>
      </c>
      <c r="G130" s="12">
        <f t="shared" si="93"/>
        <v>0</v>
      </c>
      <c r="H130" s="12">
        <f t="shared" si="93"/>
        <v>700000</v>
      </c>
      <c r="I130" s="12">
        <f t="shared" si="93"/>
        <v>700000</v>
      </c>
      <c r="J130" s="12">
        <f t="shared" si="93"/>
        <v>0</v>
      </c>
      <c r="K130" s="12">
        <f t="shared" si="93"/>
        <v>700000</v>
      </c>
      <c r="L130" s="12">
        <f t="shared" si="93"/>
        <v>700000</v>
      </c>
      <c r="M130" s="12">
        <f t="shared" si="93"/>
        <v>0</v>
      </c>
      <c r="N130" s="12">
        <f t="shared" si="93"/>
        <v>700000</v>
      </c>
    </row>
    <row r="131" spans="1:14" s="15" customFormat="1" x14ac:dyDescent="0.2">
      <c r="A131" s="26" t="s">
        <v>96</v>
      </c>
      <c r="B131" s="27" t="s">
        <v>28</v>
      </c>
      <c r="C131" s="27" t="s">
        <v>89</v>
      </c>
      <c r="D131" s="27" t="s">
        <v>98</v>
      </c>
      <c r="E131" s="27" t="s">
        <v>0</v>
      </c>
      <c r="F131" s="12">
        <f t="shared" ref="F131:N131" si="94">F132+F135</f>
        <v>700000</v>
      </c>
      <c r="G131" s="12">
        <f t="shared" ref="G131:H131" si="95">G132+G135</f>
        <v>0</v>
      </c>
      <c r="H131" s="12">
        <f t="shared" si="95"/>
        <v>700000</v>
      </c>
      <c r="I131" s="12">
        <f t="shared" si="94"/>
        <v>700000</v>
      </c>
      <c r="J131" s="12">
        <f t="shared" si="94"/>
        <v>0</v>
      </c>
      <c r="K131" s="12">
        <f t="shared" si="94"/>
        <v>700000</v>
      </c>
      <c r="L131" s="12">
        <f t="shared" si="94"/>
        <v>700000</v>
      </c>
      <c r="M131" s="12">
        <f t="shared" si="94"/>
        <v>0</v>
      </c>
      <c r="N131" s="12">
        <f t="shared" si="94"/>
        <v>700000</v>
      </c>
    </row>
    <row r="132" spans="1:14" s="15" customFormat="1" ht="13.5" customHeight="1" x14ac:dyDescent="0.2">
      <c r="A132" s="29" t="s">
        <v>99</v>
      </c>
      <c r="B132" s="30" t="s">
        <v>28</v>
      </c>
      <c r="C132" s="30" t="s">
        <v>89</v>
      </c>
      <c r="D132" s="30" t="s">
        <v>100</v>
      </c>
      <c r="E132" s="30" t="s">
        <v>0</v>
      </c>
      <c r="F132" s="13">
        <f t="shared" ref="F132:N132" si="96">F133+F134</f>
        <v>500000</v>
      </c>
      <c r="G132" s="13">
        <f t="shared" ref="G132:H132" si="97">G133+G134</f>
        <v>0</v>
      </c>
      <c r="H132" s="13">
        <f t="shared" si="97"/>
        <v>500000</v>
      </c>
      <c r="I132" s="13">
        <f t="shared" si="96"/>
        <v>500000</v>
      </c>
      <c r="J132" s="13">
        <f t="shared" si="96"/>
        <v>0</v>
      </c>
      <c r="K132" s="13">
        <f t="shared" si="96"/>
        <v>500000</v>
      </c>
      <c r="L132" s="13">
        <f t="shared" si="96"/>
        <v>500000</v>
      </c>
      <c r="M132" s="13">
        <f t="shared" si="96"/>
        <v>0</v>
      </c>
      <c r="N132" s="13">
        <f t="shared" si="96"/>
        <v>500000</v>
      </c>
    </row>
    <row r="133" spans="1:14" s="15" customFormat="1" x14ac:dyDescent="0.2">
      <c r="A133" s="16" t="s">
        <v>19</v>
      </c>
      <c r="B133" s="31" t="s">
        <v>28</v>
      </c>
      <c r="C133" s="31" t="s">
        <v>89</v>
      </c>
      <c r="D133" s="31" t="s">
        <v>100</v>
      </c>
      <c r="E133" s="31" t="s">
        <v>20</v>
      </c>
      <c r="F133" s="17">
        <v>18000</v>
      </c>
      <c r="G133" s="17">
        <v>0</v>
      </c>
      <c r="H133" s="17">
        <f>F133+G133</f>
        <v>18000</v>
      </c>
      <c r="I133" s="17">
        <v>18000</v>
      </c>
      <c r="J133" s="17">
        <v>0</v>
      </c>
      <c r="K133" s="17">
        <f t="shared" ref="K133:K134" si="98">I133+J133</f>
        <v>18000</v>
      </c>
      <c r="L133" s="17">
        <v>18000</v>
      </c>
      <c r="M133" s="17">
        <v>0</v>
      </c>
      <c r="N133" s="17">
        <f>L133+M133</f>
        <v>18000</v>
      </c>
    </row>
    <row r="134" spans="1:14" s="15" customFormat="1" x14ac:dyDescent="0.2">
      <c r="A134" s="16" t="s">
        <v>36</v>
      </c>
      <c r="B134" s="31" t="s">
        <v>28</v>
      </c>
      <c r="C134" s="31" t="s">
        <v>89</v>
      </c>
      <c r="D134" s="31" t="s">
        <v>100</v>
      </c>
      <c r="E134" s="31" t="s">
        <v>37</v>
      </c>
      <c r="F134" s="17">
        <f>82000+400000</f>
        <v>482000</v>
      </c>
      <c r="G134" s="17">
        <v>0</v>
      </c>
      <c r="H134" s="17">
        <f>F134+G134</f>
        <v>482000</v>
      </c>
      <c r="I134" s="17">
        <v>482000</v>
      </c>
      <c r="J134" s="17">
        <v>0</v>
      </c>
      <c r="K134" s="17">
        <f t="shared" si="98"/>
        <v>482000</v>
      </c>
      <c r="L134" s="17">
        <v>482000</v>
      </c>
      <c r="M134" s="17">
        <v>0</v>
      </c>
      <c r="N134" s="17">
        <f>L134+M134</f>
        <v>482000</v>
      </c>
    </row>
    <row r="135" spans="1:14" s="15" customFormat="1" ht="27" x14ac:dyDescent="0.2">
      <c r="A135" s="29" t="s">
        <v>101</v>
      </c>
      <c r="B135" s="30" t="s">
        <v>28</v>
      </c>
      <c r="C135" s="30" t="s">
        <v>89</v>
      </c>
      <c r="D135" s="30" t="s">
        <v>102</v>
      </c>
      <c r="E135" s="30" t="s">
        <v>0</v>
      </c>
      <c r="F135" s="13">
        <f t="shared" ref="F135:N135" si="99">F136</f>
        <v>200000</v>
      </c>
      <c r="G135" s="13">
        <f t="shared" si="99"/>
        <v>0</v>
      </c>
      <c r="H135" s="13">
        <f t="shared" si="99"/>
        <v>200000</v>
      </c>
      <c r="I135" s="13">
        <f t="shared" si="99"/>
        <v>200000</v>
      </c>
      <c r="J135" s="13">
        <f t="shared" si="99"/>
        <v>0</v>
      </c>
      <c r="K135" s="13">
        <f t="shared" si="99"/>
        <v>200000</v>
      </c>
      <c r="L135" s="13">
        <f t="shared" si="99"/>
        <v>200000</v>
      </c>
      <c r="M135" s="13">
        <f t="shared" si="99"/>
        <v>0</v>
      </c>
      <c r="N135" s="13">
        <f t="shared" si="99"/>
        <v>200000</v>
      </c>
    </row>
    <row r="136" spans="1:14" s="15" customFormat="1" x14ac:dyDescent="0.2">
      <c r="A136" s="16" t="s">
        <v>36</v>
      </c>
      <c r="B136" s="31" t="s">
        <v>28</v>
      </c>
      <c r="C136" s="31" t="s">
        <v>89</v>
      </c>
      <c r="D136" s="31" t="s">
        <v>102</v>
      </c>
      <c r="E136" s="31" t="s">
        <v>37</v>
      </c>
      <c r="F136" s="17">
        <v>200000</v>
      </c>
      <c r="G136" s="17">
        <v>0</v>
      </c>
      <c r="H136" s="17">
        <f>F136+G136</f>
        <v>200000</v>
      </c>
      <c r="I136" s="17">
        <v>200000</v>
      </c>
      <c r="J136" s="17">
        <v>0</v>
      </c>
      <c r="K136" s="17">
        <f>I136+J136</f>
        <v>200000</v>
      </c>
      <c r="L136" s="17">
        <v>200000</v>
      </c>
      <c r="M136" s="17">
        <v>0</v>
      </c>
      <c r="N136" s="17">
        <f>L136+M136</f>
        <v>200000</v>
      </c>
    </row>
    <row r="137" spans="1:14" s="15" customFormat="1" x14ac:dyDescent="0.2">
      <c r="A137" s="26" t="s">
        <v>213</v>
      </c>
      <c r="B137" s="27" t="s">
        <v>103</v>
      </c>
      <c r="C137" s="27" t="s">
        <v>0</v>
      </c>
      <c r="D137" s="27" t="s">
        <v>0</v>
      </c>
      <c r="E137" s="27" t="s">
        <v>0</v>
      </c>
      <c r="F137" s="12">
        <f t="shared" ref="F137:N137" si="100">F138+F161+F175+F201</f>
        <v>522162187.80000001</v>
      </c>
      <c r="G137" s="12">
        <f t="shared" si="100"/>
        <v>93409530.269999996</v>
      </c>
      <c r="H137" s="12">
        <f t="shared" si="100"/>
        <v>615571718.07000005</v>
      </c>
      <c r="I137" s="12">
        <f t="shared" si="100"/>
        <v>132027889</v>
      </c>
      <c r="J137" s="12">
        <f t="shared" si="100"/>
        <v>0</v>
      </c>
      <c r="K137" s="12">
        <f t="shared" si="100"/>
        <v>132027889</v>
      </c>
      <c r="L137" s="12">
        <f t="shared" si="100"/>
        <v>125142534</v>
      </c>
      <c r="M137" s="12">
        <f t="shared" si="100"/>
        <v>0</v>
      </c>
      <c r="N137" s="12">
        <f t="shared" si="100"/>
        <v>125142534</v>
      </c>
    </row>
    <row r="138" spans="1:14" s="15" customFormat="1" x14ac:dyDescent="0.2">
      <c r="A138" s="26" t="s">
        <v>104</v>
      </c>
      <c r="B138" s="27" t="s">
        <v>103</v>
      </c>
      <c r="C138" s="27" t="s">
        <v>8</v>
      </c>
      <c r="D138" s="27" t="s">
        <v>0</v>
      </c>
      <c r="E138" s="27" t="s">
        <v>0</v>
      </c>
      <c r="F138" s="12">
        <f>F139</f>
        <v>357559452.06999999</v>
      </c>
      <c r="G138" s="12">
        <f t="shared" ref="G138:N138" si="101">G139</f>
        <v>72343965.879999995</v>
      </c>
      <c r="H138" s="12">
        <f t="shared" si="101"/>
        <v>429903417.95000005</v>
      </c>
      <c r="I138" s="12">
        <f t="shared" si="101"/>
        <v>9454841</v>
      </c>
      <c r="J138" s="12">
        <f t="shared" si="101"/>
        <v>0</v>
      </c>
      <c r="K138" s="12">
        <f t="shared" si="101"/>
        <v>9454841</v>
      </c>
      <c r="L138" s="12">
        <f t="shared" si="101"/>
        <v>9738487</v>
      </c>
      <c r="M138" s="12">
        <f t="shared" si="101"/>
        <v>0</v>
      </c>
      <c r="N138" s="12">
        <f t="shared" si="101"/>
        <v>9738487</v>
      </c>
    </row>
    <row r="139" spans="1:14" s="15" customFormat="1" ht="17.25" customHeight="1" x14ac:dyDescent="0.2">
      <c r="A139" s="26" t="s">
        <v>90</v>
      </c>
      <c r="B139" s="27" t="s">
        <v>103</v>
      </c>
      <c r="C139" s="27" t="s">
        <v>8</v>
      </c>
      <c r="D139" s="27" t="s">
        <v>91</v>
      </c>
      <c r="E139" s="27" t="s">
        <v>0</v>
      </c>
      <c r="F139" s="12">
        <f t="shared" ref="F139:N139" si="102">F140+F142+F144+F154+F158</f>
        <v>357559452.06999999</v>
      </c>
      <c r="G139" s="12">
        <f t="shared" si="102"/>
        <v>72343965.879999995</v>
      </c>
      <c r="H139" s="12">
        <f t="shared" si="102"/>
        <v>429903417.95000005</v>
      </c>
      <c r="I139" s="12">
        <f t="shared" si="102"/>
        <v>9454841</v>
      </c>
      <c r="J139" s="12">
        <f t="shared" si="102"/>
        <v>0</v>
      </c>
      <c r="K139" s="12">
        <f t="shared" si="102"/>
        <v>9454841</v>
      </c>
      <c r="L139" s="12">
        <f t="shared" si="102"/>
        <v>9738487</v>
      </c>
      <c r="M139" s="12">
        <f t="shared" si="102"/>
        <v>0</v>
      </c>
      <c r="N139" s="12">
        <f t="shared" si="102"/>
        <v>9738487</v>
      </c>
    </row>
    <row r="140" spans="1:14" s="15" customFormat="1" ht="21.75" customHeight="1" outlineLevel="1" x14ac:dyDescent="0.2">
      <c r="A140" s="29" t="s">
        <v>105</v>
      </c>
      <c r="B140" s="30" t="s">
        <v>103</v>
      </c>
      <c r="C140" s="30" t="s">
        <v>8</v>
      </c>
      <c r="D140" s="30" t="s">
        <v>227</v>
      </c>
      <c r="E140" s="30" t="s">
        <v>0</v>
      </c>
      <c r="F140" s="13">
        <f t="shared" ref="F140:N142" si="103">F141</f>
        <v>0</v>
      </c>
      <c r="G140" s="13">
        <f t="shared" si="103"/>
        <v>7234889.7999999998</v>
      </c>
      <c r="H140" s="13">
        <f t="shared" si="103"/>
        <v>7234889.7999999998</v>
      </c>
      <c r="I140" s="13">
        <f t="shared" si="103"/>
        <v>0</v>
      </c>
      <c r="J140" s="13">
        <f t="shared" si="103"/>
        <v>0</v>
      </c>
      <c r="K140" s="13">
        <f t="shared" si="103"/>
        <v>0</v>
      </c>
      <c r="L140" s="13">
        <f t="shared" si="103"/>
        <v>0</v>
      </c>
      <c r="M140" s="13">
        <f t="shared" si="103"/>
        <v>0</v>
      </c>
      <c r="N140" s="13">
        <f t="shared" si="103"/>
        <v>0</v>
      </c>
    </row>
    <row r="141" spans="1:14" s="15" customFormat="1" ht="15.75" customHeight="1" outlineLevel="1" x14ac:dyDescent="0.2">
      <c r="A141" s="16" t="s">
        <v>262</v>
      </c>
      <c r="B141" s="31" t="s">
        <v>103</v>
      </c>
      <c r="C141" s="31" t="s">
        <v>8</v>
      </c>
      <c r="D141" s="31" t="s">
        <v>227</v>
      </c>
      <c r="E141" s="31" t="s">
        <v>35</v>
      </c>
      <c r="F141" s="17">
        <v>0</v>
      </c>
      <c r="G141" s="17">
        <f>3352889.8+70000+3812000</f>
        <v>7234889.7999999998</v>
      </c>
      <c r="H141" s="17">
        <f>G141</f>
        <v>7234889.7999999998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</row>
    <row r="142" spans="1:14" s="37" customFormat="1" ht="0.75" hidden="1" customHeight="1" outlineLevel="1" x14ac:dyDescent="0.2">
      <c r="A142" s="34" t="s">
        <v>235</v>
      </c>
      <c r="B142" s="35" t="s">
        <v>103</v>
      </c>
      <c r="C142" s="35" t="s">
        <v>8</v>
      </c>
      <c r="D142" s="35" t="s">
        <v>234</v>
      </c>
      <c r="E142" s="35" t="s">
        <v>0</v>
      </c>
      <c r="F142" s="36">
        <f t="shared" ref="F142:N142" si="104">F143</f>
        <v>0</v>
      </c>
      <c r="G142" s="36">
        <f>G143</f>
        <v>0</v>
      </c>
      <c r="H142" s="36">
        <f t="shared" si="104"/>
        <v>0</v>
      </c>
      <c r="I142" s="36">
        <f t="shared" si="103"/>
        <v>0</v>
      </c>
      <c r="J142" s="36">
        <f t="shared" si="104"/>
        <v>0</v>
      </c>
      <c r="K142" s="36">
        <f t="shared" si="104"/>
        <v>0</v>
      </c>
      <c r="L142" s="36">
        <f t="shared" si="103"/>
        <v>0</v>
      </c>
      <c r="M142" s="36">
        <f t="shared" si="104"/>
        <v>0</v>
      </c>
      <c r="N142" s="36">
        <f t="shared" si="104"/>
        <v>0</v>
      </c>
    </row>
    <row r="143" spans="1:14" s="37" customFormat="1" ht="24.75" hidden="1" customHeight="1" outlineLevel="1" x14ac:dyDescent="0.2">
      <c r="A143" s="38" t="s">
        <v>262</v>
      </c>
      <c r="B143" s="39" t="s">
        <v>103</v>
      </c>
      <c r="C143" s="39" t="s">
        <v>8</v>
      </c>
      <c r="D143" s="39" t="s">
        <v>234</v>
      </c>
      <c r="E143" s="39" t="s">
        <v>35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</row>
    <row r="144" spans="1:14" s="15" customFormat="1" ht="25.5" collapsed="1" x14ac:dyDescent="0.2">
      <c r="A144" s="26" t="s">
        <v>107</v>
      </c>
      <c r="B144" s="27" t="s">
        <v>103</v>
      </c>
      <c r="C144" s="27" t="s">
        <v>8</v>
      </c>
      <c r="D144" s="27" t="s">
        <v>108</v>
      </c>
      <c r="E144" s="27" t="s">
        <v>0</v>
      </c>
      <c r="F144" s="12">
        <f t="shared" ref="F144:N144" si="105">F145+F147+F151</f>
        <v>308160845</v>
      </c>
      <c r="G144" s="12">
        <f t="shared" si="105"/>
        <v>57340465.619999997</v>
      </c>
      <c r="H144" s="12">
        <f t="shared" si="105"/>
        <v>365501310.62</v>
      </c>
      <c r="I144" s="12">
        <f t="shared" si="105"/>
        <v>6317091</v>
      </c>
      <c r="J144" s="12">
        <f t="shared" si="105"/>
        <v>0</v>
      </c>
      <c r="K144" s="12">
        <f t="shared" si="105"/>
        <v>6317091</v>
      </c>
      <c r="L144" s="12">
        <f t="shared" si="105"/>
        <v>6506604</v>
      </c>
      <c r="M144" s="12">
        <f t="shared" si="105"/>
        <v>0</v>
      </c>
      <c r="N144" s="12">
        <f t="shared" si="105"/>
        <v>6506604</v>
      </c>
    </row>
    <row r="145" spans="1:14" s="15" customFormat="1" ht="27" x14ac:dyDescent="0.2">
      <c r="A145" s="29" t="s">
        <v>133</v>
      </c>
      <c r="B145" s="30" t="s">
        <v>103</v>
      </c>
      <c r="C145" s="30" t="s">
        <v>8</v>
      </c>
      <c r="D145" s="30" t="s">
        <v>134</v>
      </c>
      <c r="E145" s="30" t="s">
        <v>0</v>
      </c>
      <c r="F145" s="13">
        <f t="shared" ref="F145:N145" si="106">F146</f>
        <v>3506604</v>
      </c>
      <c r="G145" s="13">
        <f t="shared" si="106"/>
        <v>1500000</v>
      </c>
      <c r="H145" s="13">
        <f t="shared" si="106"/>
        <v>5006604</v>
      </c>
      <c r="I145" s="13">
        <f t="shared" si="106"/>
        <v>6317091</v>
      </c>
      <c r="J145" s="13">
        <f t="shared" si="106"/>
        <v>0</v>
      </c>
      <c r="K145" s="13">
        <f t="shared" si="106"/>
        <v>6317091</v>
      </c>
      <c r="L145" s="13">
        <f t="shared" si="106"/>
        <v>6506604</v>
      </c>
      <c r="M145" s="13">
        <f t="shared" si="106"/>
        <v>0</v>
      </c>
      <c r="N145" s="13">
        <f t="shared" si="106"/>
        <v>6506604</v>
      </c>
    </row>
    <row r="146" spans="1:14" s="15" customFormat="1" x14ac:dyDescent="0.2">
      <c r="A146" s="16" t="s">
        <v>19</v>
      </c>
      <c r="B146" s="31" t="s">
        <v>103</v>
      </c>
      <c r="C146" s="31" t="s">
        <v>8</v>
      </c>
      <c r="D146" s="31" t="s">
        <v>134</v>
      </c>
      <c r="E146" s="31" t="s">
        <v>20</v>
      </c>
      <c r="F146" s="17">
        <v>3506604</v>
      </c>
      <c r="G146" s="17">
        <v>1500000</v>
      </c>
      <c r="H146" s="17">
        <f>F146+G146</f>
        <v>5006604</v>
      </c>
      <c r="I146" s="17">
        <v>6317091</v>
      </c>
      <c r="J146" s="17">
        <v>0</v>
      </c>
      <c r="K146" s="17">
        <f>I146+J146</f>
        <v>6317091</v>
      </c>
      <c r="L146" s="17">
        <v>6506604</v>
      </c>
      <c r="M146" s="17">
        <v>0</v>
      </c>
      <c r="N146" s="17">
        <f>L146+M146</f>
        <v>6506604</v>
      </c>
    </row>
    <row r="147" spans="1:14" s="15" customFormat="1" ht="13.5" x14ac:dyDescent="0.2">
      <c r="A147" s="29" t="s">
        <v>226</v>
      </c>
      <c r="B147" s="30" t="s">
        <v>103</v>
      </c>
      <c r="C147" s="30" t="s">
        <v>8</v>
      </c>
      <c r="D147" s="30" t="s">
        <v>225</v>
      </c>
      <c r="E147" s="30" t="s">
        <v>0</v>
      </c>
      <c r="F147" s="13">
        <f>F148+F149+F150</f>
        <v>304654241</v>
      </c>
      <c r="G147" s="13">
        <f>G148+G149+G150</f>
        <v>55840465.619999997</v>
      </c>
      <c r="H147" s="13">
        <f>H148+H149+H150</f>
        <v>360494706.62</v>
      </c>
      <c r="I147" s="13">
        <f t="shared" ref="I147:N147" si="107">I148+I149</f>
        <v>0</v>
      </c>
      <c r="J147" s="13">
        <f t="shared" si="107"/>
        <v>0</v>
      </c>
      <c r="K147" s="13">
        <f t="shared" si="107"/>
        <v>0</v>
      </c>
      <c r="L147" s="13">
        <f t="shared" si="107"/>
        <v>0</v>
      </c>
      <c r="M147" s="13">
        <f t="shared" si="107"/>
        <v>0</v>
      </c>
      <c r="N147" s="13">
        <f t="shared" si="107"/>
        <v>0</v>
      </c>
    </row>
    <row r="148" spans="1:14" s="15" customFormat="1" x14ac:dyDescent="0.2">
      <c r="A148" s="16" t="s">
        <v>19</v>
      </c>
      <c r="B148" s="31" t="s">
        <v>103</v>
      </c>
      <c r="C148" s="31" t="s">
        <v>8</v>
      </c>
      <c r="D148" s="31" t="s">
        <v>225</v>
      </c>
      <c r="E148" s="31" t="s">
        <v>20</v>
      </c>
      <c r="F148" s="17">
        <f>458241+4196000</f>
        <v>4654241</v>
      </c>
      <c r="G148" s="17">
        <f>652000+2138505.96+10412005.5+1786383.4+240000+24653974.25+13785634.12</f>
        <v>53668503.229999997</v>
      </c>
      <c r="H148" s="17">
        <f>F148+G148</f>
        <v>58322744.229999997</v>
      </c>
      <c r="I148" s="17">
        <v>0</v>
      </c>
      <c r="J148" s="17">
        <v>0</v>
      </c>
      <c r="K148" s="17">
        <f t="shared" ref="K148:K150" si="108">I148+J148</f>
        <v>0</v>
      </c>
      <c r="L148" s="17">
        <v>0</v>
      </c>
      <c r="M148" s="17">
        <v>0</v>
      </c>
      <c r="N148" s="17">
        <f>L148+M148</f>
        <v>0</v>
      </c>
    </row>
    <row r="149" spans="1:14" s="15" customFormat="1" ht="25.5" x14ac:dyDescent="0.2">
      <c r="A149" s="16" t="s">
        <v>262</v>
      </c>
      <c r="B149" s="31" t="s">
        <v>103</v>
      </c>
      <c r="C149" s="31" t="s">
        <v>8</v>
      </c>
      <c r="D149" s="31" t="s">
        <v>225</v>
      </c>
      <c r="E149" s="31" t="s">
        <v>35</v>
      </c>
      <c r="F149" s="17">
        <f>300000000</f>
        <v>300000000</v>
      </c>
      <c r="G149" s="17">
        <f>-35645974.25+ 20078980+2441956.64</f>
        <v>-13125037.609999999</v>
      </c>
      <c r="H149" s="17">
        <f t="shared" ref="H149:H150" si="109">F149+G149</f>
        <v>286874962.38999999</v>
      </c>
      <c r="I149" s="17">
        <v>0</v>
      </c>
      <c r="J149" s="17">
        <v>0</v>
      </c>
      <c r="K149" s="17">
        <f t="shared" si="108"/>
        <v>0</v>
      </c>
      <c r="L149" s="17">
        <v>0</v>
      </c>
      <c r="M149" s="17">
        <v>0</v>
      </c>
      <c r="N149" s="17">
        <f t="shared" ref="N149:N150" si="110">L149+M149</f>
        <v>0</v>
      </c>
    </row>
    <row r="150" spans="1:14" s="15" customFormat="1" x14ac:dyDescent="0.2">
      <c r="A150" s="16" t="s">
        <v>36</v>
      </c>
      <c r="B150" s="31" t="s">
        <v>103</v>
      </c>
      <c r="C150" s="31" t="s">
        <v>8</v>
      </c>
      <c r="D150" s="31" t="s">
        <v>225</v>
      </c>
      <c r="E150" s="31">
        <v>800</v>
      </c>
      <c r="F150" s="17">
        <v>0</v>
      </c>
      <c r="G150" s="17">
        <v>15297000</v>
      </c>
      <c r="H150" s="17">
        <f t="shared" si="109"/>
        <v>15297000</v>
      </c>
      <c r="I150" s="17">
        <v>0</v>
      </c>
      <c r="J150" s="17">
        <v>0</v>
      </c>
      <c r="K150" s="17">
        <f t="shared" si="108"/>
        <v>0</v>
      </c>
      <c r="L150" s="17">
        <v>0</v>
      </c>
      <c r="M150" s="17">
        <v>0</v>
      </c>
      <c r="N150" s="17">
        <f t="shared" si="110"/>
        <v>0</v>
      </c>
    </row>
    <row r="151" spans="1:14" s="2" customFormat="1" ht="24.75" hidden="1" customHeight="1" outlineLevel="1" x14ac:dyDescent="0.2">
      <c r="A151" s="3" t="s">
        <v>109</v>
      </c>
      <c r="B151" s="4" t="s">
        <v>103</v>
      </c>
      <c r="C151" s="4" t="s">
        <v>8</v>
      </c>
      <c r="D151" s="4" t="s">
        <v>110</v>
      </c>
      <c r="E151" s="4" t="s">
        <v>0</v>
      </c>
      <c r="F151" s="13">
        <f t="shared" ref="F151:N151" si="111">F152+F153</f>
        <v>0</v>
      </c>
      <c r="G151" s="13">
        <f t="shared" ref="G151:H151" si="112">G152+G153</f>
        <v>0</v>
      </c>
      <c r="H151" s="13">
        <f t="shared" si="112"/>
        <v>0</v>
      </c>
      <c r="I151" s="5">
        <f t="shared" si="111"/>
        <v>0</v>
      </c>
      <c r="J151" s="5">
        <f t="shared" si="111"/>
        <v>0</v>
      </c>
      <c r="K151" s="5">
        <f t="shared" si="111"/>
        <v>0</v>
      </c>
      <c r="L151" s="5">
        <f t="shared" si="111"/>
        <v>0</v>
      </c>
      <c r="M151" s="5">
        <f t="shared" si="111"/>
        <v>0</v>
      </c>
      <c r="N151" s="5">
        <f t="shared" si="111"/>
        <v>0</v>
      </c>
    </row>
    <row r="152" spans="1:14" s="2" customFormat="1" ht="12.75" hidden="1" customHeight="1" outlineLevel="1" x14ac:dyDescent="0.2">
      <c r="A152" s="6" t="s">
        <v>19</v>
      </c>
      <c r="B152" s="7" t="s">
        <v>103</v>
      </c>
      <c r="C152" s="7" t="s">
        <v>8</v>
      </c>
      <c r="D152" s="7" t="s">
        <v>110</v>
      </c>
      <c r="E152" s="7" t="s">
        <v>20</v>
      </c>
      <c r="F152" s="17">
        <v>0</v>
      </c>
      <c r="G152" s="17">
        <v>0</v>
      </c>
      <c r="H152" s="17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</row>
    <row r="153" spans="1:14" s="2" customFormat="1" ht="24.75" hidden="1" customHeight="1" outlineLevel="1" x14ac:dyDescent="0.2">
      <c r="A153" s="6" t="s">
        <v>262</v>
      </c>
      <c r="B153" s="7" t="s">
        <v>103</v>
      </c>
      <c r="C153" s="7" t="s">
        <v>8</v>
      </c>
      <c r="D153" s="7" t="s">
        <v>110</v>
      </c>
      <c r="E153" s="7" t="s">
        <v>35</v>
      </c>
      <c r="F153" s="17">
        <v>0</v>
      </c>
      <c r="G153" s="17">
        <v>0</v>
      </c>
      <c r="H153" s="17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</row>
    <row r="154" spans="1:14" s="15" customFormat="1" ht="13.5" customHeight="1" collapsed="1" x14ac:dyDescent="0.2">
      <c r="A154" s="26" t="s">
        <v>171</v>
      </c>
      <c r="B154" s="27" t="s">
        <v>103</v>
      </c>
      <c r="C154" s="27" t="s">
        <v>8</v>
      </c>
      <c r="D154" s="27" t="s">
        <v>172</v>
      </c>
      <c r="E154" s="27" t="s">
        <v>0</v>
      </c>
      <c r="F154" s="12">
        <f t="shared" ref="F154:N154" si="113">F155</f>
        <v>48964127.07</v>
      </c>
      <c r="G154" s="12">
        <f t="shared" si="113"/>
        <v>7768610.4600000009</v>
      </c>
      <c r="H154" s="12">
        <f t="shared" si="113"/>
        <v>56732737.530000001</v>
      </c>
      <c r="I154" s="12">
        <f t="shared" si="113"/>
        <v>2720700</v>
      </c>
      <c r="J154" s="12">
        <f t="shared" si="113"/>
        <v>0</v>
      </c>
      <c r="K154" s="12">
        <f t="shared" si="113"/>
        <v>2720700</v>
      </c>
      <c r="L154" s="12">
        <f t="shared" si="113"/>
        <v>2802321</v>
      </c>
      <c r="M154" s="12">
        <f t="shared" si="113"/>
        <v>0</v>
      </c>
      <c r="N154" s="12">
        <f t="shared" si="113"/>
        <v>2802321</v>
      </c>
    </row>
    <row r="155" spans="1:14" s="15" customFormat="1" ht="27" x14ac:dyDescent="0.2">
      <c r="A155" s="29" t="s">
        <v>173</v>
      </c>
      <c r="B155" s="30" t="s">
        <v>103</v>
      </c>
      <c r="C155" s="30" t="s">
        <v>8</v>
      </c>
      <c r="D155" s="30" t="s">
        <v>174</v>
      </c>
      <c r="E155" s="30" t="s">
        <v>0</v>
      </c>
      <c r="F155" s="13">
        <f t="shared" ref="F155:N155" si="114">F156+F157</f>
        <v>48964127.07</v>
      </c>
      <c r="G155" s="13">
        <f t="shared" ref="G155:H155" si="115">G156+G157</f>
        <v>7768610.4600000009</v>
      </c>
      <c r="H155" s="13">
        <f t="shared" si="115"/>
        <v>56732737.530000001</v>
      </c>
      <c r="I155" s="13">
        <f t="shared" si="114"/>
        <v>2720700</v>
      </c>
      <c r="J155" s="13">
        <f t="shared" si="114"/>
        <v>0</v>
      </c>
      <c r="K155" s="13">
        <f t="shared" si="114"/>
        <v>2720700</v>
      </c>
      <c r="L155" s="13">
        <f t="shared" si="114"/>
        <v>2802321</v>
      </c>
      <c r="M155" s="13">
        <f t="shared" si="114"/>
        <v>0</v>
      </c>
      <c r="N155" s="13">
        <f t="shared" si="114"/>
        <v>2802321</v>
      </c>
    </row>
    <row r="156" spans="1:14" s="15" customFormat="1" x14ac:dyDescent="0.2">
      <c r="A156" s="16" t="s">
        <v>19</v>
      </c>
      <c r="B156" s="31" t="s">
        <v>103</v>
      </c>
      <c r="C156" s="31" t="s">
        <v>8</v>
      </c>
      <c r="D156" s="31" t="s">
        <v>174</v>
      </c>
      <c r="E156" s="31" t="s">
        <v>20</v>
      </c>
      <c r="F156" s="17">
        <v>2802321</v>
      </c>
      <c r="G156" s="17">
        <v>794272.81</v>
      </c>
      <c r="H156" s="17">
        <f>F156+G156</f>
        <v>3596593.81</v>
      </c>
      <c r="I156" s="17">
        <v>2720700</v>
      </c>
      <c r="J156" s="17">
        <v>0</v>
      </c>
      <c r="K156" s="17">
        <f t="shared" ref="K156:K157" si="116">I156+J156</f>
        <v>2720700</v>
      </c>
      <c r="L156" s="17">
        <v>2802321</v>
      </c>
      <c r="M156" s="17">
        <v>0</v>
      </c>
      <c r="N156" s="17">
        <f>L156+M156</f>
        <v>2802321</v>
      </c>
    </row>
    <row r="157" spans="1:14" s="15" customFormat="1" x14ac:dyDescent="0.2">
      <c r="A157" s="16" t="s">
        <v>36</v>
      </c>
      <c r="B157" s="31" t="s">
        <v>103</v>
      </c>
      <c r="C157" s="31" t="s">
        <v>8</v>
      </c>
      <c r="D157" s="31" t="s">
        <v>174</v>
      </c>
      <c r="E157" s="31" t="s">
        <v>37</v>
      </c>
      <c r="F157" s="17">
        <f>16161806.07+15000000+15000000</f>
        <v>46161806.07</v>
      </c>
      <c r="G157" s="17">
        <v>6974337.6500000004</v>
      </c>
      <c r="H157" s="17">
        <f>F157+G157</f>
        <v>53136143.719999999</v>
      </c>
      <c r="I157" s="17">
        <v>0</v>
      </c>
      <c r="J157" s="17">
        <v>0</v>
      </c>
      <c r="K157" s="17">
        <f t="shared" si="116"/>
        <v>0</v>
      </c>
      <c r="L157" s="17">
        <v>0</v>
      </c>
      <c r="M157" s="17">
        <v>0</v>
      </c>
      <c r="N157" s="17">
        <f>L157+M157</f>
        <v>0</v>
      </c>
    </row>
    <row r="158" spans="1:14" s="15" customFormat="1" ht="25.5" x14ac:dyDescent="0.2">
      <c r="A158" s="26" t="s">
        <v>175</v>
      </c>
      <c r="B158" s="27" t="s">
        <v>103</v>
      </c>
      <c r="C158" s="27" t="s">
        <v>8</v>
      </c>
      <c r="D158" s="27" t="s">
        <v>176</v>
      </c>
      <c r="E158" s="27" t="s">
        <v>0</v>
      </c>
      <c r="F158" s="12">
        <f t="shared" ref="F158:N159" si="117">F159</f>
        <v>434480</v>
      </c>
      <c r="G158" s="12">
        <f t="shared" si="117"/>
        <v>0</v>
      </c>
      <c r="H158" s="12">
        <f t="shared" si="117"/>
        <v>434480</v>
      </c>
      <c r="I158" s="12">
        <f t="shared" ref="I158:L159" si="118">I159</f>
        <v>417050</v>
      </c>
      <c r="J158" s="12">
        <f t="shared" si="117"/>
        <v>0</v>
      </c>
      <c r="K158" s="12">
        <f t="shared" si="117"/>
        <v>417050</v>
      </c>
      <c r="L158" s="12">
        <f t="shared" si="118"/>
        <v>429562</v>
      </c>
      <c r="M158" s="12">
        <f t="shared" si="117"/>
        <v>0</v>
      </c>
      <c r="N158" s="12">
        <f t="shared" si="117"/>
        <v>429562</v>
      </c>
    </row>
    <row r="159" spans="1:14" s="15" customFormat="1" ht="27.75" customHeight="1" x14ac:dyDescent="0.2">
      <c r="A159" s="29" t="s">
        <v>177</v>
      </c>
      <c r="B159" s="30" t="s">
        <v>103</v>
      </c>
      <c r="C159" s="30" t="s">
        <v>8</v>
      </c>
      <c r="D159" s="30" t="s">
        <v>178</v>
      </c>
      <c r="E159" s="30" t="s">
        <v>0</v>
      </c>
      <c r="F159" s="13">
        <f t="shared" si="117"/>
        <v>434480</v>
      </c>
      <c r="G159" s="13">
        <f t="shared" si="117"/>
        <v>0</v>
      </c>
      <c r="H159" s="13">
        <f t="shared" si="117"/>
        <v>434480</v>
      </c>
      <c r="I159" s="13">
        <f t="shared" si="118"/>
        <v>417050</v>
      </c>
      <c r="J159" s="13">
        <f t="shared" si="117"/>
        <v>0</v>
      </c>
      <c r="K159" s="13">
        <f t="shared" si="117"/>
        <v>417050</v>
      </c>
      <c r="L159" s="13">
        <f t="shared" si="118"/>
        <v>429562</v>
      </c>
      <c r="M159" s="13">
        <f t="shared" si="117"/>
        <v>0</v>
      </c>
      <c r="N159" s="13">
        <f t="shared" si="117"/>
        <v>429562</v>
      </c>
    </row>
    <row r="160" spans="1:14" s="15" customFormat="1" x14ac:dyDescent="0.2">
      <c r="A160" s="16" t="s">
        <v>19</v>
      </c>
      <c r="B160" s="31" t="s">
        <v>103</v>
      </c>
      <c r="C160" s="31" t="s">
        <v>8</v>
      </c>
      <c r="D160" s="31" t="s">
        <v>178</v>
      </c>
      <c r="E160" s="31" t="s">
        <v>20</v>
      </c>
      <c r="F160" s="17">
        <v>434480</v>
      </c>
      <c r="G160" s="17">
        <v>0</v>
      </c>
      <c r="H160" s="17">
        <f>F160+G160</f>
        <v>434480</v>
      </c>
      <c r="I160" s="17">
        <v>417050</v>
      </c>
      <c r="J160" s="17">
        <v>0</v>
      </c>
      <c r="K160" s="17">
        <f>I160+J160</f>
        <v>417050</v>
      </c>
      <c r="L160" s="17">
        <v>429562</v>
      </c>
      <c r="M160" s="17">
        <v>0</v>
      </c>
      <c r="N160" s="17">
        <f>L160+M160</f>
        <v>429562</v>
      </c>
    </row>
    <row r="161" spans="1:14" s="15" customFormat="1" x14ac:dyDescent="0.2">
      <c r="A161" s="26" t="s">
        <v>179</v>
      </c>
      <c r="B161" s="27" t="s">
        <v>103</v>
      </c>
      <c r="C161" s="27" t="s">
        <v>24</v>
      </c>
      <c r="D161" s="27" t="s">
        <v>0</v>
      </c>
      <c r="E161" s="27" t="s">
        <v>0</v>
      </c>
      <c r="F161" s="12">
        <f t="shared" ref="F161:N161" si="119">F162</f>
        <v>9758551.7300000004</v>
      </c>
      <c r="G161" s="12">
        <f t="shared" si="119"/>
        <v>9444520.3099999987</v>
      </c>
      <c r="H161" s="12">
        <f t="shared" si="119"/>
        <v>19203072.039999999</v>
      </c>
      <c r="I161" s="12">
        <f t="shared" si="119"/>
        <v>11594869</v>
      </c>
      <c r="J161" s="12">
        <f t="shared" si="119"/>
        <v>0</v>
      </c>
      <c r="K161" s="12">
        <f t="shared" si="119"/>
        <v>11594869</v>
      </c>
      <c r="L161" s="12">
        <f t="shared" si="119"/>
        <v>3007971</v>
      </c>
      <c r="M161" s="12">
        <f t="shared" si="119"/>
        <v>0</v>
      </c>
      <c r="N161" s="12">
        <f t="shared" si="119"/>
        <v>3007971</v>
      </c>
    </row>
    <row r="162" spans="1:14" s="15" customFormat="1" ht="25.5" x14ac:dyDescent="0.2">
      <c r="A162" s="26" t="s">
        <v>90</v>
      </c>
      <c r="B162" s="27" t="s">
        <v>103</v>
      </c>
      <c r="C162" s="27" t="s">
        <v>24</v>
      </c>
      <c r="D162" s="27" t="s">
        <v>91</v>
      </c>
      <c r="E162" s="27" t="s">
        <v>0</v>
      </c>
      <c r="F162" s="12">
        <f t="shared" ref="F162:N162" si="120">F163+F170</f>
        <v>9758551.7300000004</v>
      </c>
      <c r="G162" s="12">
        <f t="shared" si="120"/>
        <v>9444520.3099999987</v>
      </c>
      <c r="H162" s="12">
        <f t="shared" si="120"/>
        <v>19203072.039999999</v>
      </c>
      <c r="I162" s="12">
        <f t="shared" si="120"/>
        <v>11594869</v>
      </c>
      <c r="J162" s="12">
        <f t="shared" si="120"/>
        <v>0</v>
      </c>
      <c r="K162" s="12">
        <f t="shared" si="120"/>
        <v>11594869</v>
      </c>
      <c r="L162" s="12">
        <f t="shared" si="120"/>
        <v>3007971</v>
      </c>
      <c r="M162" s="12">
        <f t="shared" si="120"/>
        <v>0</v>
      </c>
      <c r="N162" s="12">
        <f t="shared" si="120"/>
        <v>3007971</v>
      </c>
    </row>
    <row r="163" spans="1:14" s="15" customFormat="1" ht="24.75" customHeight="1" x14ac:dyDescent="0.2">
      <c r="A163" s="26" t="s">
        <v>92</v>
      </c>
      <c r="B163" s="27" t="s">
        <v>103</v>
      </c>
      <c r="C163" s="27" t="s">
        <v>24</v>
      </c>
      <c r="D163" s="27" t="s">
        <v>93</v>
      </c>
      <c r="E163" s="27" t="s">
        <v>0</v>
      </c>
      <c r="F163" s="12">
        <f t="shared" ref="F163:N163" si="121">F164+F167</f>
        <v>3077231.4299999997</v>
      </c>
      <c r="G163" s="12">
        <f t="shared" ref="G163:H163" si="122">G164+G167</f>
        <v>7644520.3099999996</v>
      </c>
      <c r="H163" s="12">
        <f t="shared" si="122"/>
        <v>10721751.74</v>
      </c>
      <c r="I163" s="12">
        <f t="shared" si="121"/>
        <v>5000505</v>
      </c>
      <c r="J163" s="12">
        <f t="shared" si="121"/>
        <v>0</v>
      </c>
      <c r="K163" s="12">
        <f t="shared" si="121"/>
        <v>5000505</v>
      </c>
      <c r="L163" s="12">
        <f t="shared" si="121"/>
        <v>0</v>
      </c>
      <c r="M163" s="12">
        <f t="shared" si="121"/>
        <v>0</v>
      </c>
      <c r="N163" s="12">
        <f t="shared" si="121"/>
        <v>0</v>
      </c>
    </row>
    <row r="164" spans="1:14" s="15" customFormat="1" ht="40.5" hidden="1" outlineLevel="1" x14ac:dyDescent="0.2">
      <c r="A164" s="29" t="s">
        <v>105</v>
      </c>
      <c r="B164" s="30" t="s">
        <v>103</v>
      </c>
      <c r="C164" s="30" t="s">
        <v>24</v>
      </c>
      <c r="D164" s="30" t="s">
        <v>106</v>
      </c>
      <c r="E164" s="30" t="s">
        <v>0</v>
      </c>
      <c r="F164" s="13">
        <f t="shared" ref="F164:N164" si="123">F166+F165</f>
        <v>0</v>
      </c>
      <c r="G164" s="13">
        <f t="shared" ref="G164:H164" si="124">G166+G165</f>
        <v>0</v>
      </c>
      <c r="H164" s="13">
        <f t="shared" si="124"/>
        <v>0</v>
      </c>
      <c r="I164" s="13">
        <f t="shared" si="123"/>
        <v>0</v>
      </c>
      <c r="J164" s="13">
        <f t="shared" si="123"/>
        <v>0</v>
      </c>
      <c r="K164" s="13">
        <f t="shared" si="123"/>
        <v>0</v>
      </c>
      <c r="L164" s="13">
        <f t="shared" si="123"/>
        <v>0</v>
      </c>
      <c r="M164" s="13">
        <f t="shared" si="123"/>
        <v>0</v>
      </c>
      <c r="N164" s="13">
        <f t="shared" si="123"/>
        <v>0</v>
      </c>
    </row>
    <row r="165" spans="1:14" s="15" customFormat="1" hidden="1" outlineLevel="1" x14ac:dyDescent="0.2">
      <c r="A165" s="16" t="s">
        <v>19</v>
      </c>
      <c r="B165" s="31" t="s">
        <v>103</v>
      </c>
      <c r="C165" s="31" t="s">
        <v>24</v>
      </c>
      <c r="D165" s="31" t="s">
        <v>106</v>
      </c>
      <c r="E165" s="31">
        <v>200</v>
      </c>
      <c r="F165" s="18">
        <v>0</v>
      </c>
      <c r="G165" s="18">
        <v>0</v>
      </c>
      <c r="H165" s="18">
        <v>0</v>
      </c>
      <c r="I165" s="17">
        <v>0</v>
      </c>
      <c r="J165" s="18">
        <v>0</v>
      </c>
      <c r="K165" s="18">
        <v>0</v>
      </c>
      <c r="L165" s="17">
        <v>0</v>
      </c>
      <c r="M165" s="18">
        <v>0</v>
      </c>
      <c r="N165" s="18">
        <v>0</v>
      </c>
    </row>
    <row r="166" spans="1:14" s="15" customFormat="1" ht="24.75" hidden="1" customHeight="1" outlineLevel="1" x14ac:dyDescent="0.2">
      <c r="A166" s="16" t="s">
        <v>262</v>
      </c>
      <c r="B166" s="31" t="s">
        <v>103</v>
      </c>
      <c r="C166" s="31" t="s">
        <v>24</v>
      </c>
      <c r="D166" s="31" t="s">
        <v>106</v>
      </c>
      <c r="E166" s="31" t="s">
        <v>35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s="15" customFormat="1" ht="40.5" collapsed="1" x14ac:dyDescent="0.2">
      <c r="A167" s="29" t="s">
        <v>105</v>
      </c>
      <c r="B167" s="30" t="s">
        <v>103</v>
      </c>
      <c r="C167" s="30" t="s">
        <v>24</v>
      </c>
      <c r="D167" s="30" t="s">
        <v>227</v>
      </c>
      <c r="E167" s="30" t="s">
        <v>0</v>
      </c>
      <c r="F167" s="13">
        <f>F169+F168</f>
        <v>3077231.4299999997</v>
      </c>
      <c r="G167" s="13">
        <f>G169+G168</f>
        <v>7644520.3099999996</v>
      </c>
      <c r="H167" s="13">
        <f>H169+H168</f>
        <v>10721751.74</v>
      </c>
      <c r="I167" s="13">
        <f t="shared" ref="I167:L167" si="125">I169+I168</f>
        <v>5000505</v>
      </c>
      <c r="J167" s="13">
        <f>J169+J168</f>
        <v>0</v>
      </c>
      <c r="K167" s="13">
        <f>K169+K168</f>
        <v>5000505</v>
      </c>
      <c r="L167" s="13">
        <f t="shared" si="125"/>
        <v>0</v>
      </c>
      <c r="M167" s="13">
        <f>M169+M168</f>
        <v>0</v>
      </c>
      <c r="N167" s="13">
        <f>N169+N168</f>
        <v>0</v>
      </c>
    </row>
    <row r="168" spans="1:14" s="15" customFormat="1" ht="17.25" customHeight="1" x14ac:dyDescent="0.2">
      <c r="A168" s="16" t="s">
        <v>19</v>
      </c>
      <c r="B168" s="31" t="s">
        <v>103</v>
      </c>
      <c r="C168" s="31" t="s">
        <v>24</v>
      </c>
      <c r="D168" s="31" t="s">
        <v>241</v>
      </c>
      <c r="E168" s="31">
        <v>200</v>
      </c>
      <c r="F168" s="18">
        <v>2042231.43</v>
      </c>
      <c r="G168" s="14">
        <v>7644520.3099999996</v>
      </c>
      <c r="H168" s="17">
        <f>F168+G168</f>
        <v>9686751.7400000002</v>
      </c>
      <c r="I168" s="17">
        <v>0</v>
      </c>
      <c r="J168" s="18">
        <v>0</v>
      </c>
      <c r="K168" s="17">
        <f t="shared" ref="K168:K169" si="126">I168+J168</f>
        <v>0</v>
      </c>
      <c r="L168" s="17">
        <v>0</v>
      </c>
      <c r="M168" s="18">
        <v>0</v>
      </c>
      <c r="N168" s="17">
        <f>L168+M168</f>
        <v>0</v>
      </c>
    </row>
    <row r="169" spans="1:14" s="15" customFormat="1" ht="30.75" customHeight="1" x14ac:dyDescent="0.2">
      <c r="A169" s="16" t="s">
        <v>262</v>
      </c>
      <c r="B169" s="31" t="s">
        <v>103</v>
      </c>
      <c r="C169" s="31" t="s">
        <v>24</v>
      </c>
      <c r="D169" s="31" t="s">
        <v>241</v>
      </c>
      <c r="E169" s="31" t="s">
        <v>35</v>
      </c>
      <c r="F169" s="17">
        <v>1035000</v>
      </c>
      <c r="G169" s="14">
        <v>0</v>
      </c>
      <c r="H169" s="17">
        <f>F169+G169</f>
        <v>1035000</v>
      </c>
      <c r="I169" s="17">
        <v>5000505</v>
      </c>
      <c r="J169" s="17">
        <v>0</v>
      </c>
      <c r="K169" s="17">
        <f t="shared" si="126"/>
        <v>5000505</v>
      </c>
      <c r="L169" s="17">
        <v>0</v>
      </c>
      <c r="M169" s="17">
        <v>0</v>
      </c>
      <c r="N169" s="17">
        <f>L169+M169</f>
        <v>0</v>
      </c>
    </row>
    <row r="170" spans="1:14" s="15" customFormat="1" ht="25.5" x14ac:dyDescent="0.2">
      <c r="A170" s="26" t="s">
        <v>180</v>
      </c>
      <c r="B170" s="27" t="s">
        <v>103</v>
      </c>
      <c r="C170" s="27" t="s">
        <v>24</v>
      </c>
      <c r="D170" s="27" t="s">
        <v>181</v>
      </c>
      <c r="E170" s="27" t="s">
        <v>0</v>
      </c>
      <c r="F170" s="12">
        <f t="shared" ref="F170:N170" si="127">F171</f>
        <v>6681320.2999999998</v>
      </c>
      <c r="G170" s="12">
        <f t="shared" si="127"/>
        <v>1800000</v>
      </c>
      <c r="H170" s="12">
        <f t="shared" si="127"/>
        <v>8481320.3000000007</v>
      </c>
      <c r="I170" s="12">
        <f t="shared" si="127"/>
        <v>6594364</v>
      </c>
      <c r="J170" s="12">
        <f t="shared" si="127"/>
        <v>0</v>
      </c>
      <c r="K170" s="12">
        <f t="shared" si="127"/>
        <v>6594364</v>
      </c>
      <c r="L170" s="12">
        <f t="shared" si="127"/>
        <v>3007971</v>
      </c>
      <c r="M170" s="12">
        <f t="shared" si="127"/>
        <v>0</v>
      </c>
      <c r="N170" s="12">
        <f t="shared" si="127"/>
        <v>3007971</v>
      </c>
    </row>
    <row r="171" spans="1:14" s="15" customFormat="1" ht="15" customHeight="1" x14ac:dyDescent="0.2">
      <c r="A171" s="29" t="s">
        <v>182</v>
      </c>
      <c r="B171" s="30" t="s">
        <v>103</v>
      </c>
      <c r="C171" s="30" t="s">
        <v>24</v>
      </c>
      <c r="D171" s="30" t="s">
        <v>183</v>
      </c>
      <c r="E171" s="30" t="s">
        <v>0</v>
      </c>
      <c r="F171" s="13">
        <f t="shared" ref="F171:N171" si="128">F172+F173+F174</f>
        <v>6681320.2999999998</v>
      </c>
      <c r="G171" s="13">
        <f t="shared" ref="G171:H171" si="129">G172+G173+G174</f>
        <v>1800000</v>
      </c>
      <c r="H171" s="13">
        <f t="shared" si="129"/>
        <v>8481320.3000000007</v>
      </c>
      <c r="I171" s="13">
        <f t="shared" si="128"/>
        <v>6594364</v>
      </c>
      <c r="J171" s="13">
        <f t="shared" si="128"/>
        <v>0</v>
      </c>
      <c r="K171" s="13">
        <f t="shared" si="128"/>
        <v>6594364</v>
      </c>
      <c r="L171" s="13">
        <f t="shared" si="128"/>
        <v>3007971</v>
      </c>
      <c r="M171" s="13">
        <f t="shared" si="128"/>
        <v>0</v>
      </c>
      <c r="N171" s="13">
        <f t="shared" si="128"/>
        <v>3007971</v>
      </c>
    </row>
    <row r="172" spans="1:14" s="15" customFormat="1" x14ac:dyDescent="0.2">
      <c r="A172" s="16" t="s">
        <v>19</v>
      </c>
      <c r="B172" s="31" t="s">
        <v>103</v>
      </c>
      <c r="C172" s="31" t="s">
        <v>24</v>
      </c>
      <c r="D172" s="31" t="s">
        <v>183</v>
      </c>
      <c r="E172" s="31" t="s">
        <v>20</v>
      </c>
      <c r="F172" s="17">
        <f>1936440+109880.3</f>
        <v>2046320.3</v>
      </c>
      <c r="G172" s="17">
        <v>1800000</v>
      </c>
      <c r="H172" s="17">
        <f>F172+G172</f>
        <v>3846320.3</v>
      </c>
      <c r="I172" s="17">
        <v>1859438</v>
      </c>
      <c r="J172" s="17">
        <v>0</v>
      </c>
      <c r="K172" s="17">
        <f t="shared" ref="K172:K174" si="130">I172+J172</f>
        <v>1859438</v>
      </c>
      <c r="L172" s="17">
        <v>0</v>
      </c>
      <c r="M172" s="17">
        <v>0</v>
      </c>
      <c r="N172" s="17">
        <f>L172+M172</f>
        <v>0</v>
      </c>
    </row>
    <row r="173" spans="1:14" s="15" customFormat="1" ht="25.5" hidden="1" outlineLevel="1" x14ac:dyDescent="0.2">
      <c r="A173" s="16" t="s">
        <v>262</v>
      </c>
      <c r="B173" s="31" t="s">
        <v>103</v>
      </c>
      <c r="C173" s="31" t="s">
        <v>24</v>
      </c>
      <c r="D173" s="31" t="s">
        <v>183</v>
      </c>
      <c r="E173" s="31" t="s">
        <v>35</v>
      </c>
      <c r="F173" s="17">
        <v>0</v>
      </c>
      <c r="G173" s="17">
        <v>0</v>
      </c>
      <c r="H173" s="17">
        <f>F173+G173</f>
        <v>0</v>
      </c>
      <c r="I173" s="17">
        <v>0</v>
      </c>
      <c r="J173" s="17">
        <v>0</v>
      </c>
      <c r="K173" s="17">
        <f t="shared" si="130"/>
        <v>0</v>
      </c>
      <c r="L173" s="17">
        <v>0</v>
      </c>
      <c r="M173" s="17">
        <v>0</v>
      </c>
      <c r="N173" s="17">
        <f>L173+M173</f>
        <v>0</v>
      </c>
    </row>
    <row r="174" spans="1:14" s="15" customFormat="1" collapsed="1" x14ac:dyDescent="0.2">
      <c r="A174" s="16" t="s">
        <v>36</v>
      </c>
      <c r="B174" s="31" t="s">
        <v>103</v>
      </c>
      <c r="C174" s="31" t="s">
        <v>24</v>
      </c>
      <c r="D174" s="31" t="s">
        <v>183</v>
      </c>
      <c r="E174" s="31" t="s">
        <v>37</v>
      </c>
      <c r="F174" s="17">
        <v>4635000</v>
      </c>
      <c r="G174" s="17">
        <v>0</v>
      </c>
      <c r="H174" s="17">
        <f>F174+G174</f>
        <v>4635000</v>
      </c>
      <c r="I174" s="17">
        <v>4734926</v>
      </c>
      <c r="J174" s="17">
        <v>0</v>
      </c>
      <c r="K174" s="17">
        <f t="shared" si="130"/>
        <v>4734926</v>
      </c>
      <c r="L174" s="17">
        <v>3007971</v>
      </c>
      <c r="M174" s="17">
        <v>0</v>
      </c>
      <c r="N174" s="17">
        <f>L174+M174</f>
        <v>3007971</v>
      </c>
    </row>
    <row r="175" spans="1:14" s="15" customFormat="1" x14ac:dyDescent="0.2">
      <c r="A175" s="26" t="s">
        <v>184</v>
      </c>
      <c r="B175" s="27" t="s">
        <v>103</v>
      </c>
      <c r="C175" s="27" t="s">
        <v>10</v>
      </c>
      <c r="D175" s="27" t="s">
        <v>0</v>
      </c>
      <c r="E175" s="27" t="s">
        <v>0</v>
      </c>
      <c r="F175" s="12">
        <f t="shared" ref="F175:N175" si="131">F176</f>
        <v>101587523</v>
      </c>
      <c r="G175" s="12">
        <f t="shared" si="131"/>
        <v>11621044.08</v>
      </c>
      <c r="H175" s="12">
        <f t="shared" si="131"/>
        <v>113208567.08</v>
      </c>
      <c r="I175" s="12">
        <f t="shared" si="131"/>
        <v>55787724</v>
      </c>
      <c r="J175" s="12">
        <f t="shared" si="131"/>
        <v>0</v>
      </c>
      <c r="K175" s="12">
        <f t="shared" si="131"/>
        <v>55787724</v>
      </c>
      <c r="L175" s="12">
        <f t="shared" si="131"/>
        <v>55549907</v>
      </c>
      <c r="M175" s="12">
        <f t="shared" si="131"/>
        <v>0</v>
      </c>
      <c r="N175" s="12">
        <f t="shared" si="131"/>
        <v>55549907</v>
      </c>
    </row>
    <row r="176" spans="1:14" s="15" customFormat="1" ht="25.5" x14ac:dyDescent="0.2">
      <c r="A176" s="26" t="s">
        <v>163</v>
      </c>
      <c r="B176" s="27" t="s">
        <v>103</v>
      </c>
      <c r="C176" s="27" t="s">
        <v>10</v>
      </c>
      <c r="D176" s="27" t="s">
        <v>164</v>
      </c>
      <c r="E176" s="27" t="s">
        <v>0</v>
      </c>
      <c r="F176" s="12">
        <f t="shared" ref="F176:N176" si="132">F177+F180</f>
        <v>101587523</v>
      </c>
      <c r="G176" s="12">
        <f t="shared" ref="G176:H176" si="133">G177+G180</f>
        <v>11621044.08</v>
      </c>
      <c r="H176" s="12">
        <f t="shared" si="133"/>
        <v>113208567.08</v>
      </c>
      <c r="I176" s="12">
        <f t="shared" si="132"/>
        <v>55787724</v>
      </c>
      <c r="J176" s="12">
        <f t="shared" si="132"/>
        <v>0</v>
      </c>
      <c r="K176" s="12">
        <f t="shared" si="132"/>
        <v>55787724</v>
      </c>
      <c r="L176" s="12">
        <f t="shared" si="132"/>
        <v>55549907</v>
      </c>
      <c r="M176" s="12">
        <f t="shared" si="132"/>
        <v>0</v>
      </c>
      <c r="N176" s="12">
        <f t="shared" si="132"/>
        <v>55549907</v>
      </c>
    </row>
    <row r="177" spans="1:14" s="15" customFormat="1" ht="25.5" hidden="1" customHeight="1" outlineLevel="1" x14ac:dyDescent="0.2">
      <c r="A177" s="26" t="s">
        <v>185</v>
      </c>
      <c r="B177" s="27" t="s">
        <v>103</v>
      </c>
      <c r="C177" s="27" t="s">
        <v>10</v>
      </c>
      <c r="D177" s="27" t="s">
        <v>186</v>
      </c>
      <c r="E177" s="27" t="s">
        <v>0</v>
      </c>
      <c r="F177" s="12">
        <f t="shared" ref="F177:N178" si="134">F178</f>
        <v>0</v>
      </c>
      <c r="G177" s="12">
        <f t="shared" si="134"/>
        <v>0</v>
      </c>
      <c r="H177" s="12">
        <f t="shared" si="134"/>
        <v>0</v>
      </c>
      <c r="I177" s="12">
        <f t="shared" ref="I177:L178" si="135">I178</f>
        <v>0</v>
      </c>
      <c r="J177" s="12">
        <f t="shared" si="134"/>
        <v>0</v>
      </c>
      <c r="K177" s="12">
        <f t="shared" si="134"/>
        <v>0</v>
      </c>
      <c r="L177" s="12">
        <f t="shared" si="135"/>
        <v>0</v>
      </c>
      <c r="M177" s="12">
        <f t="shared" si="134"/>
        <v>0</v>
      </c>
      <c r="N177" s="12">
        <f t="shared" si="134"/>
        <v>0</v>
      </c>
    </row>
    <row r="178" spans="1:14" s="15" customFormat="1" ht="39.75" hidden="1" customHeight="1" outlineLevel="1" x14ac:dyDescent="0.2">
      <c r="A178" s="29" t="s">
        <v>187</v>
      </c>
      <c r="B178" s="30" t="s">
        <v>103</v>
      </c>
      <c r="C178" s="30" t="s">
        <v>10</v>
      </c>
      <c r="D178" s="30" t="s">
        <v>188</v>
      </c>
      <c r="E178" s="30" t="s">
        <v>0</v>
      </c>
      <c r="F178" s="13">
        <f t="shared" si="134"/>
        <v>0</v>
      </c>
      <c r="G178" s="13">
        <f t="shared" si="134"/>
        <v>0</v>
      </c>
      <c r="H178" s="13">
        <f t="shared" si="134"/>
        <v>0</v>
      </c>
      <c r="I178" s="13">
        <f t="shared" si="135"/>
        <v>0</v>
      </c>
      <c r="J178" s="13">
        <f t="shared" si="134"/>
        <v>0</v>
      </c>
      <c r="K178" s="13">
        <f t="shared" si="134"/>
        <v>0</v>
      </c>
      <c r="L178" s="13">
        <f t="shared" si="135"/>
        <v>0</v>
      </c>
      <c r="M178" s="13">
        <f t="shared" si="134"/>
        <v>0</v>
      </c>
      <c r="N178" s="13">
        <f t="shared" si="134"/>
        <v>0</v>
      </c>
    </row>
    <row r="179" spans="1:14" s="15" customFormat="1" hidden="1" outlineLevel="1" x14ac:dyDescent="0.2">
      <c r="A179" s="16" t="s">
        <v>19</v>
      </c>
      <c r="B179" s="31" t="s">
        <v>103</v>
      </c>
      <c r="C179" s="31" t="s">
        <v>10</v>
      </c>
      <c r="D179" s="31" t="s">
        <v>188</v>
      </c>
      <c r="E179" s="31" t="s">
        <v>20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</row>
    <row r="180" spans="1:14" s="15" customFormat="1" ht="25.5" collapsed="1" x14ac:dyDescent="0.2">
      <c r="A180" s="26" t="s">
        <v>165</v>
      </c>
      <c r="B180" s="27" t="s">
        <v>103</v>
      </c>
      <c r="C180" s="27" t="s">
        <v>10</v>
      </c>
      <c r="D180" s="27" t="s">
        <v>166</v>
      </c>
      <c r="E180" s="27" t="s">
        <v>0</v>
      </c>
      <c r="F180" s="12">
        <f>F181+F183+F185+F187+F189+F193+F195+F198</f>
        <v>101587523</v>
      </c>
      <c r="G180" s="12">
        <f>G181+G183+G185+G187+G189+G193+G195+G198</f>
        <v>11621044.08</v>
      </c>
      <c r="H180" s="12">
        <f>H181+H183+H185+H187+H189+H193+H195+H198</f>
        <v>113208567.08</v>
      </c>
      <c r="I180" s="12">
        <f t="shared" ref="I180:L180" si="136">I181+I183+I185+I187+I189+I193+I195+I198</f>
        <v>55787724</v>
      </c>
      <c r="J180" s="12">
        <f>J181+J183+J185+J187+J189+J193+J195+J198</f>
        <v>0</v>
      </c>
      <c r="K180" s="12">
        <f>K181+K183+K185+K187+K189+K193+K195+K198</f>
        <v>55787724</v>
      </c>
      <c r="L180" s="12">
        <f t="shared" si="136"/>
        <v>55549907</v>
      </c>
      <c r="M180" s="12">
        <f>M181+M183+M185+M187+M189+M193+M195+M198</f>
        <v>0</v>
      </c>
      <c r="N180" s="12">
        <f>N181+N183+N185+N187+N189+N193+N195+N198</f>
        <v>55549907</v>
      </c>
    </row>
    <row r="181" spans="1:14" s="15" customFormat="1" ht="13.5" x14ac:dyDescent="0.2">
      <c r="A181" s="29" t="s">
        <v>189</v>
      </c>
      <c r="B181" s="30" t="s">
        <v>103</v>
      </c>
      <c r="C181" s="30" t="s">
        <v>10</v>
      </c>
      <c r="D181" s="30" t="s">
        <v>190</v>
      </c>
      <c r="E181" s="30" t="s">
        <v>0</v>
      </c>
      <c r="F181" s="19">
        <f t="shared" ref="F181:N181" si="137">F182</f>
        <v>12706702</v>
      </c>
      <c r="G181" s="19">
        <f t="shared" si="137"/>
        <v>0</v>
      </c>
      <c r="H181" s="19">
        <f t="shared" si="137"/>
        <v>12706702</v>
      </c>
      <c r="I181" s="19">
        <f t="shared" si="137"/>
        <v>18086958</v>
      </c>
      <c r="J181" s="19">
        <f t="shared" si="137"/>
        <v>0</v>
      </c>
      <c r="K181" s="19">
        <f t="shared" si="137"/>
        <v>18086958</v>
      </c>
      <c r="L181" s="19">
        <f t="shared" si="137"/>
        <v>18629567</v>
      </c>
      <c r="M181" s="19">
        <f t="shared" si="137"/>
        <v>0</v>
      </c>
      <c r="N181" s="19">
        <f t="shared" si="137"/>
        <v>18629567</v>
      </c>
    </row>
    <row r="182" spans="1:14" s="15" customFormat="1" x14ac:dyDescent="0.2">
      <c r="A182" s="16" t="s">
        <v>19</v>
      </c>
      <c r="B182" s="31" t="s">
        <v>103</v>
      </c>
      <c r="C182" s="31" t="s">
        <v>10</v>
      </c>
      <c r="D182" s="31" t="s">
        <v>190</v>
      </c>
      <c r="E182" s="31" t="s">
        <v>20</v>
      </c>
      <c r="F182" s="17">
        <f>4700000+8006702</f>
        <v>12706702</v>
      </c>
      <c r="G182" s="17">
        <v>0</v>
      </c>
      <c r="H182" s="17">
        <f>F182+G182</f>
        <v>12706702</v>
      </c>
      <c r="I182" s="17">
        <f>6080256+12006702</f>
        <v>18086958</v>
      </c>
      <c r="J182" s="17">
        <v>0</v>
      </c>
      <c r="K182" s="17">
        <f>I182+J182</f>
        <v>18086958</v>
      </c>
      <c r="L182" s="17">
        <f>6262664+12366903</f>
        <v>18629567</v>
      </c>
      <c r="M182" s="17">
        <v>0</v>
      </c>
      <c r="N182" s="17">
        <f>L182+M182</f>
        <v>18629567</v>
      </c>
    </row>
    <row r="183" spans="1:14" s="15" customFormat="1" ht="13.5" x14ac:dyDescent="0.2">
      <c r="A183" s="29" t="s">
        <v>191</v>
      </c>
      <c r="B183" s="30" t="s">
        <v>103</v>
      </c>
      <c r="C183" s="30" t="s">
        <v>10</v>
      </c>
      <c r="D183" s="30" t="s">
        <v>192</v>
      </c>
      <c r="E183" s="30" t="s">
        <v>0</v>
      </c>
      <c r="F183" s="13">
        <f t="shared" ref="F183:N183" si="138">F184</f>
        <v>260000</v>
      </c>
      <c r="G183" s="13">
        <f t="shared" si="138"/>
        <v>0</v>
      </c>
      <c r="H183" s="13">
        <f t="shared" si="138"/>
        <v>260000</v>
      </c>
      <c r="I183" s="13">
        <f t="shared" si="138"/>
        <v>0</v>
      </c>
      <c r="J183" s="13">
        <f t="shared" si="138"/>
        <v>0</v>
      </c>
      <c r="K183" s="13">
        <f t="shared" si="138"/>
        <v>0</v>
      </c>
      <c r="L183" s="13">
        <f t="shared" si="138"/>
        <v>0</v>
      </c>
      <c r="M183" s="13">
        <f t="shared" si="138"/>
        <v>0</v>
      </c>
      <c r="N183" s="13">
        <f t="shared" si="138"/>
        <v>0</v>
      </c>
    </row>
    <row r="184" spans="1:14" s="15" customFormat="1" x14ac:dyDescent="0.2">
      <c r="A184" s="16" t="s">
        <v>19</v>
      </c>
      <c r="B184" s="31" t="s">
        <v>103</v>
      </c>
      <c r="C184" s="31" t="s">
        <v>10</v>
      </c>
      <c r="D184" s="31" t="s">
        <v>192</v>
      </c>
      <c r="E184" s="31" t="s">
        <v>20</v>
      </c>
      <c r="F184" s="17">
        <v>260000</v>
      </c>
      <c r="G184" s="17">
        <v>0</v>
      </c>
      <c r="H184" s="17">
        <f>F184+G184</f>
        <v>260000</v>
      </c>
      <c r="I184" s="17">
        <v>0</v>
      </c>
      <c r="J184" s="17">
        <v>0</v>
      </c>
      <c r="K184" s="17">
        <f>I184+J184</f>
        <v>0</v>
      </c>
      <c r="L184" s="17">
        <v>0</v>
      </c>
      <c r="M184" s="17">
        <v>0</v>
      </c>
      <c r="N184" s="17">
        <f>L184+M184</f>
        <v>0</v>
      </c>
    </row>
    <row r="185" spans="1:14" s="15" customFormat="1" ht="15" customHeight="1" x14ac:dyDescent="0.2">
      <c r="A185" s="29" t="s">
        <v>193</v>
      </c>
      <c r="B185" s="30" t="s">
        <v>103</v>
      </c>
      <c r="C185" s="30" t="s">
        <v>10</v>
      </c>
      <c r="D185" s="30" t="s">
        <v>194</v>
      </c>
      <c r="E185" s="30" t="s">
        <v>0</v>
      </c>
      <c r="F185" s="13">
        <f t="shared" ref="F185:N185" si="139">F186</f>
        <v>5652276</v>
      </c>
      <c r="G185" s="13">
        <f t="shared" si="139"/>
        <v>0</v>
      </c>
      <c r="H185" s="13">
        <f t="shared" si="139"/>
        <v>5652276</v>
      </c>
      <c r="I185" s="13">
        <f t="shared" si="139"/>
        <v>5652276</v>
      </c>
      <c r="J185" s="13">
        <f t="shared" si="139"/>
        <v>0</v>
      </c>
      <c r="K185" s="13">
        <f t="shared" si="139"/>
        <v>5652276</v>
      </c>
      <c r="L185" s="13">
        <f t="shared" si="139"/>
        <v>5821844</v>
      </c>
      <c r="M185" s="13">
        <f t="shared" si="139"/>
        <v>0</v>
      </c>
      <c r="N185" s="13">
        <f t="shared" si="139"/>
        <v>5821844</v>
      </c>
    </row>
    <row r="186" spans="1:14" s="15" customFormat="1" ht="25.5" x14ac:dyDescent="0.2">
      <c r="A186" s="41" t="s">
        <v>238</v>
      </c>
      <c r="B186" s="31" t="s">
        <v>103</v>
      </c>
      <c r="C186" s="31" t="s">
        <v>10</v>
      </c>
      <c r="D186" s="31" t="s">
        <v>194</v>
      </c>
      <c r="E186" s="31" t="s">
        <v>124</v>
      </c>
      <c r="F186" s="17">
        <v>5652276</v>
      </c>
      <c r="G186" s="17">
        <v>0</v>
      </c>
      <c r="H186" s="17">
        <f>F186+G186</f>
        <v>5652276</v>
      </c>
      <c r="I186" s="17">
        <v>5652276</v>
      </c>
      <c r="J186" s="17">
        <v>0</v>
      </c>
      <c r="K186" s="17">
        <f>I186+J186</f>
        <v>5652276</v>
      </c>
      <c r="L186" s="17">
        <v>5821844</v>
      </c>
      <c r="M186" s="17">
        <v>0</v>
      </c>
      <c r="N186" s="17">
        <f>L186+M186</f>
        <v>5821844</v>
      </c>
    </row>
    <row r="187" spans="1:14" s="15" customFormat="1" ht="13.5" x14ac:dyDescent="0.2">
      <c r="A187" s="29" t="s">
        <v>195</v>
      </c>
      <c r="B187" s="30" t="s">
        <v>103</v>
      </c>
      <c r="C187" s="30" t="s">
        <v>10</v>
      </c>
      <c r="D187" s="30" t="s">
        <v>196</v>
      </c>
      <c r="E187" s="30" t="s">
        <v>0</v>
      </c>
      <c r="F187" s="13">
        <f t="shared" ref="F187:N187" si="140">F188</f>
        <v>15441953</v>
      </c>
      <c r="G187" s="13">
        <f t="shared" si="140"/>
        <v>0</v>
      </c>
      <c r="H187" s="13">
        <f t="shared" si="140"/>
        <v>15441953</v>
      </c>
      <c r="I187" s="13">
        <f t="shared" si="140"/>
        <v>19013261</v>
      </c>
      <c r="J187" s="13">
        <f t="shared" si="140"/>
        <v>0</v>
      </c>
      <c r="K187" s="13">
        <f t="shared" si="140"/>
        <v>19013261</v>
      </c>
      <c r="L187" s="13">
        <f t="shared" si="140"/>
        <v>18459477</v>
      </c>
      <c r="M187" s="13">
        <f t="shared" si="140"/>
        <v>0</v>
      </c>
      <c r="N187" s="13">
        <f t="shared" si="140"/>
        <v>18459477</v>
      </c>
    </row>
    <row r="188" spans="1:14" s="15" customFormat="1" x14ac:dyDescent="0.2">
      <c r="A188" s="16" t="s">
        <v>19</v>
      </c>
      <c r="B188" s="31" t="s">
        <v>103</v>
      </c>
      <c r="C188" s="31" t="s">
        <v>10</v>
      </c>
      <c r="D188" s="31" t="s">
        <v>196</v>
      </c>
      <c r="E188" s="31" t="s">
        <v>20</v>
      </c>
      <c r="F188" s="17">
        <v>15441953</v>
      </c>
      <c r="G188" s="17">
        <v>0</v>
      </c>
      <c r="H188" s="17">
        <f>F188+G188</f>
        <v>15441953</v>
      </c>
      <c r="I188" s="17">
        <v>19013261</v>
      </c>
      <c r="J188" s="17">
        <v>0</v>
      </c>
      <c r="K188" s="17">
        <f>I188+J188</f>
        <v>19013261</v>
      </c>
      <c r="L188" s="17">
        <v>18459477</v>
      </c>
      <c r="M188" s="17">
        <v>0</v>
      </c>
      <c r="N188" s="17">
        <f>L188+M188</f>
        <v>18459477</v>
      </c>
    </row>
    <row r="189" spans="1:14" s="15" customFormat="1" ht="13.5" x14ac:dyDescent="0.2">
      <c r="A189" s="29" t="s">
        <v>197</v>
      </c>
      <c r="B189" s="30" t="s">
        <v>103</v>
      </c>
      <c r="C189" s="30" t="s">
        <v>10</v>
      </c>
      <c r="D189" s="30" t="s">
        <v>198</v>
      </c>
      <c r="E189" s="30" t="s">
        <v>0</v>
      </c>
      <c r="F189" s="13">
        <f t="shared" ref="F189:N189" si="141">F190+F191+F192</f>
        <v>8402542</v>
      </c>
      <c r="G189" s="13">
        <f t="shared" si="141"/>
        <v>10521254.08</v>
      </c>
      <c r="H189" s="13">
        <f t="shared" ref="H189" si="142">H190+H191+H192</f>
        <v>18923796.079999998</v>
      </c>
      <c r="I189" s="13">
        <f t="shared" si="141"/>
        <v>10595833</v>
      </c>
      <c r="J189" s="13">
        <f>J190+J191+J192</f>
        <v>0</v>
      </c>
      <c r="K189" s="13">
        <f t="shared" si="141"/>
        <v>10595833</v>
      </c>
      <c r="L189" s="13">
        <f t="shared" si="141"/>
        <v>10913707</v>
      </c>
      <c r="M189" s="13">
        <f t="shared" si="141"/>
        <v>0</v>
      </c>
      <c r="N189" s="13">
        <f t="shared" si="141"/>
        <v>10913707</v>
      </c>
    </row>
    <row r="190" spans="1:14" s="15" customFormat="1" x14ac:dyDescent="0.2">
      <c r="A190" s="16" t="s">
        <v>19</v>
      </c>
      <c r="B190" s="31" t="s">
        <v>103</v>
      </c>
      <c r="C190" s="31" t="s">
        <v>10</v>
      </c>
      <c r="D190" s="31" t="s">
        <v>198</v>
      </c>
      <c r="E190" s="31" t="s">
        <v>20</v>
      </c>
      <c r="F190" s="17">
        <f>4462711+3939831</f>
        <v>8402542</v>
      </c>
      <c r="G190" s="14">
        <f>524800+121454.2+215254.63+354458+85000+4199641.88+3064745.37</f>
        <v>8565354.0800000001</v>
      </c>
      <c r="H190" s="17">
        <f>F190+G190</f>
        <v>16967896.079999998</v>
      </c>
      <c r="I190" s="17">
        <f>7344711+3251122</f>
        <v>10595833</v>
      </c>
      <c r="J190" s="17">
        <v>0</v>
      </c>
      <c r="K190" s="17">
        <f>I190+J190</f>
        <v>10595833</v>
      </c>
      <c r="L190" s="17">
        <f>7565052+3348655</f>
        <v>10913707</v>
      </c>
      <c r="M190" s="17">
        <v>0</v>
      </c>
      <c r="N190" s="17">
        <f>L190+M190</f>
        <v>10913707</v>
      </c>
    </row>
    <row r="191" spans="1:14" s="15" customFormat="1" ht="12.75" hidden="1" customHeight="1" outlineLevel="1" x14ac:dyDescent="0.2">
      <c r="A191" s="16" t="s">
        <v>68</v>
      </c>
      <c r="B191" s="31" t="s">
        <v>103</v>
      </c>
      <c r="C191" s="31" t="s">
        <v>10</v>
      </c>
      <c r="D191" s="31" t="s">
        <v>198</v>
      </c>
      <c r="E191" s="31" t="s">
        <v>69</v>
      </c>
      <c r="F191" s="17">
        <v>0</v>
      </c>
      <c r="G191" s="17">
        <v>0</v>
      </c>
      <c r="H191" s="17">
        <f t="shared" ref="H191:H192" si="143">F191+G191</f>
        <v>0</v>
      </c>
      <c r="I191" s="17">
        <v>0</v>
      </c>
      <c r="J191" s="17">
        <v>0</v>
      </c>
      <c r="K191" s="17">
        <f t="shared" ref="K191:K192" si="144">I191+J191</f>
        <v>0</v>
      </c>
      <c r="L191" s="17">
        <v>0</v>
      </c>
      <c r="M191" s="17">
        <v>0</v>
      </c>
      <c r="N191" s="17">
        <f t="shared" ref="N191:N192" si="145">L191+M191</f>
        <v>0</v>
      </c>
    </row>
    <row r="192" spans="1:14" s="15" customFormat="1" ht="29.25" customHeight="1" collapsed="1" x14ac:dyDescent="0.2">
      <c r="A192" s="16" t="s">
        <v>262</v>
      </c>
      <c r="B192" s="31" t="s">
        <v>103</v>
      </c>
      <c r="C192" s="31" t="s">
        <v>10</v>
      </c>
      <c r="D192" s="31" t="s">
        <v>198</v>
      </c>
      <c r="E192" s="31" t="s">
        <v>35</v>
      </c>
      <c r="F192" s="17">
        <v>0</v>
      </c>
      <c r="G192" s="14">
        <v>1955900</v>
      </c>
      <c r="H192" s="17">
        <f t="shared" si="143"/>
        <v>1955900</v>
      </c>
      <c r="I192" s="17">
        <v>0</v>
      </c>
      <c r="J192" s="17">
        <v>0</v>
      </c>
      <c r="K192" s="17">
        <f t="shared" si="144"/>
        <v>0</v>
      </c>
      <c r="L192" s="17">
        <v>0</v>
      </c>
      <c r="M192" s="17">
        <v>0</v>
      </c>
      <c r="N192" s="17">
        <f t="shared" si="145"/>
        <v>0</v>
      </c>
    </row>
    <row r="193" spans="1:14" s="15" customFormat="1" ht="38.25" customHeight="1" x14ac:dyDescent="0.2">
      <c r="A193" s="29" t="s">
        <v>221</v>
      </c>
      <c r="B193" s="30" t="s">
        <v>103</v>
      </c>
      <c r="C193" s="30" t="s">
        <v>10</v>
      </c>
      <c r="D193" s="30" t="s">
        <v>199</v>
      </c>
      <c r="E193" s="30" t="s">
        <v>0</v>
      </c>
      <c r="F193" s="13">
        <f t="shared" ref="F193:N193" si="146">F194</f>
        <v>900000</v>
      </c>
      <c r="G193" s="13">
        <f t="shared" si="146"/>
        <v>600000</v>
      </c>
      <c r="H193" s="13">
        <f t="shared" si="146"/>
        <v>1500000</v>
      </c>
      <c r="I193" s="13">
        <f t="shared" si="146"/>
        <v>1000000</v>
      </c>
      <c r="J193" s="13">
        <f t="shared" si="146"/>
        <v>0</v>
      </c>
      <c r="K193" s="13">
        <f t="shared" si="146"/>
        <v>1000000</v>
      </c>
      <c r="L193" s="13">
        <f t="shared" si="146"/>
        <v>1000000</v>
      </c>
      <c r="M193" s="13">
        <f t="shared" si="146"/>
        <v>0</v>
      </c>
      <c r="N193" s="13">
        <f t="shared" si="146"/>
        <v>1000000</v>
      </c>
    </row>
    <row r="194" spans="1:14" s="15" customFormat="1" x14ac:dyDescent="0.2">
      <c r="A194" s="16" t="s">
        <v>19</v>
      </c>
      <c r="B194" s="31" t="s">
        <v>103</v>
      </c>
      <c r="C194" s="31" t="s">
        <v>10</v>
      </c>
      <c r="D194" s="31" t="s">
        <v>199</v>
      </c>
      <c r="E194" s="31" t="s">
        <v>20</v>
      </c>
      <c r="F194" s="17">
        <v>900000</v>
      </c>
      <c r="G194" s="17">
        <v>600000</v>
      </c>
      <c r="H194" s="17">
        <f>F194+G194</f>
        <v>1500000</v>
      </c>
      <c r="I194" s="17">
        <v>1000000</v>
      </c>
      <c r="J194" s="17">
        <v>0</v>
      </c>
      <c r="K194" s="17">
        <f>I194+J194</f>
        <v>1000000</v>
      </c>
      <c r="L194" s="17">
        <v>1000000</v>
      </c>
      <c r="M194" s="17">
        <v>0</v>
      </c>
      <c r="N194" s="17">
        <f>L194+M194</f>
        <v>1000000</v>
      </c>
    </row>
    <row r="195" spans="1:14" s="15" customFormat="1" ht="27" x14ac:dyDescent="0.2">
      <c r="A195" s="29" t="s">
        <v>229</v>
      </c>
      <c r="B195" s="30" t="s">
        <v>103</v>
      </c>
      <c r="C195" s="30" t="s">
        <v>10</v>
      </c>
      <c r="D195" s="30" t="s">
        <v>228</v>
      </c>
      <c r="E195" s="30" t="s">
        <v>0</v>
      </c>
      <c r="F195" s="13">
        <f>F196+F197</f>
        <v>55625000</v>
      </c>
      <c r="G195" s="13">
        <f>G196+G197</f>
        <v>0</v>
      </c>
      <c r="H195" s="13">
        <f>H196+H197</f>
        <v>55625000</v>
      </c>
      <c r="I195" s="13">
        <f t="shared" ref="I195:L195" si="147">I196+I197</f>
        <v>1439396</v>
      </c>
      <c r="J195" s="13">
        <f>J196+J197</f>
        <v>0</v>
      </c>
      <c r="K195" s="13">
        <f>K196+K197</f>
        <v>1439396</v>
      </c>
      <c r="L195" s="13">
        <f t="shared" si="147"/>
        <v>725312</v>
      </c>
      <c r="M195" s="13">
        <f>M196+M197</f>
        <v>0</v>
      </c>
      <c r="N195" s="13">
        <f>N196+N197</f>
        <v>725312</v>
      </c>
    </row>
    <row r="196" spans="1:14" s="15" customFormat="1" x14ac:dyDescent="0.2">
      <c r="A196" s="16" t="s">
        <v>19</v>
      </c>
      <c r="B196" s="31" t="s">
        <v>103</v>
      </c>
      <c r="C196" s="31" t="s">
        <v>10</v>
      </c>
      <c r="D196" s="31" t="s">
        <v>228</v>
      </c>
      <c r="E196" s="31" t="s">
        <v>20</v>
      </c>
      <c r="F196" s="17">
        <f>5444563+180437</f>
        <v>5625000</v>
      </c>
      <c r="G196" s="17">
        <v>0</v>
      </c>
      <c r="H196" s="17">
        <f>F196+G196</f>
        <v>5625000</v>
      </c>
      <c r="I196" s="17">
        <v>1439396</v>
      </c>
      <c r="J196" s="17">
        <v>0</v>
      </c>
      <c r="K196" s="17">
        <f t="shared" ref="K196:K197" si="148">I196+J196</f>
        <v>1439396</v>
      </c>
      <c r="L196" s="17">
        <v>725312</v>
      </c>
      <c r="M196" s="17">
        <v>0</v>
      </c>
      <c r="N196" s="17">
        <f>L196+M196</f>
        <v>725312</v>
      </c>
    </row>
    <row r="197" spans="1:14" s="15" customFormat="1" ht="25.5" x14ac:dyDescent="0.2">
      <c r="A197" s="41" t="s">
        <v>238</v>
      </c>
      <c r="B197" s="42" t="s">
        <v>103</v>
      </c>
      <c r="C197" s="42" t="s">
        <v>10</v>
      </c>
      <c r="D197" s="42" t="s">
        <v>228</v>
      </c>
      <c r="E197" s="42">
        <v>600</v>
      </c>
      <c r="F197" s="18">
        <v>50000000</v>
      </c>
      <c r="G197" s="18">
        <v>0</v>
      </c>
      <c r="H197" s="17">
        <f>F197+G197</f>
        <v>50000000</v>
      </c>
      <c r="I197" s="18">
        <v>0</v>
      </c>
      <c r="J197" s="18">
        <v>0</v>
      </c>
      <c r="K197" s="17">
        <f t="shared" si="148"/>
        <v>0</v>
      </c>
      <c r="L197" s="18">
        <v>0</v>
      </c>
      <c r="M197" s="18">
        <v>0</v>
      </c>
      <c r="N197" s="17">
        <f>L197+M197</f>
        <v>0</v>
      </c>
    </row>
    <row r="198" spans="1:14" s="15" customFormat="1" ht="29.25" customHeight="1" x14ac:dyDescent="0.2">
      <c r="A198" s="29" t="s">
        <v>233</v>
      </c>
      <c r="B198" s="30" t="s">
        <v>103</v>
      </c>
      <c r="C198" s="30" t="s">
        <v>10</v>
      </c>
      <c r="D198" s="30" t="s">
        <v>232</v>
      </c>
      <c r="E198" s="30" t="s">
        <v>0</v>
      </c>
      <c r="F198" s="13">
        <f>F199+F200</f>
        <v>2599050</v>
      </c>
      <c r="G198" s="13">
        <f>G199+G200</f>
        <v>499790</v>
      </c>
      <c r="H198" s="13">
        <f>H199+H200</f>
        <v>3098840</v>
      </c>
      <c r="I198" s="13">
        <f t="shared" ref="I198:N198" si="149">I199+I200</f>
        <v>0</v>
      </c>
      <c r="J198" s="13">
        <f t="shared" si="149"/>
        <v>0</v>
      </c>
      <c r="K198" s="13">
        <f t="shared" si="149"/>
        <v>0</v>
      </c>
      <c r="L198" s="13">
        <f t="shared" si="149"/>
        <v>0</v>
      </c>
      <c r="M198" s="13">
        <f t="shared" si="149"/>
        <v>0</v>
      </c>
      <c r="N198" s="13">
        <f t="shared" si="149"/>
        <v>0</v>
      </c>
    </row>
    <row r="199" spans="1:14" s="15" customFormat="1" x14ac:dyDescent="0.2">
      <c r="A199" s="16" t="s">
        <v>19</v>
      </c>
      <c r="B199" s="31" t="s">
        <v>103</v>
      </c>
      <c r="C199" s="31" t="s">
        <v>10</v>
      </c>
      <c r="D199" s="31" t="s">
        <v>232</v>
      </c>
      <c r="E199" s="31" t="s">
        <v>20</v>
      </c>
      <c r="F199" s="17">
        <f>1599050+1000000</f>
        <v>2599050</v>
      </c>
      <c r="G199" s="17">
        <v>0</v>
      </c>
      <c r="H199" s="17">
        <f>F199+G199</f>
        <v>2599050</v>
      </c>
      <c r="I199" s="17">
        <v>0</v>
      </c>
      <c r="J199" s="17">
        <v>0</v>
      </c>
      <c r="K199" s="17">
        <f>I199+J199</f>
        <v>0</v>
      </c>
      <c r="L199" s="17">
        <v>0</v>
      </c>
      <c r="M199" s="17">
        <v>0</v>
      </c>
      <c r="N199" s="17">
        <f>L199+M199</f>
        <v>0</v>
      </c>
    </row>
    <row r="200" spans="1:14" s="15" customFormat="1" ht="25.5" x14ac:dyDescent="0.2">
      <c r="A200" s="41" t="s">
        <v>238</v>
      </c>
      <c r="B200" s="31" t="s">
        <v>103</v>
      </c>
      <c r="C200" s="31" t="s">
        <v>10</v>
      </c>
      <c r="D200" s="31" t="s">
        <v>232</v>
      </c>
      <c r="E200" s="31">
        <v>600</v>
      </c>
      <c r="F200" s="17">
        <v>0</v>
      </c>
      <c r="G200" s="17">
        <v>499790</v>
      </c>
      <c r="H200" s="17">
        <f>F200+G200</f>
        <v>499790</v>
      </c>
      <c r="I200" s="17">
        <v>0</v>
      </c>
      <c r="J200" s="17">
        <v>0</v>
      </c>
      <c r="K200" s="17">
        <f>I200+J200</f>
        <v>0</v>
      </c>
      <c r="L200" s="17">
        <v>0</v>
      </c>
      <c r="M200" s="17">
        <v>0</v>
      </c>
      <c r="N200" s="17">
        <f>L200+M200</f>
        <v>0</v>
      </c>
    </row>
    <row r="201" spans="1:14" s="15" customFormat="1" ht="25.5" x14ac:dyDescent="0.2">
      <c r="A201" s="26" t="s">
        <v>200</v>
      </c>
      <c r="B201" s="27" t="s">
        <v>103</v>
      </c>
      <c r="C201" s="27" t="s">
        <v>103</v>
      </c>
      <c r="D201" s="27" t="s">
        <v>0</v>
      </c>
      <c r="E201" s="27" t="s">
        <v>0</v>
      </c>
      <c r="F201" s="12">
        <f t="shared" ref="F201:N203" si="150">F202</f>
        <v>53256661</v>
      </c>
      <c r="G201" s="12">
        <f t="shared" si="150"/>
        <v>0</v>
      </c>
      <c r="H201" s="12">
        <f t="shared" si="150"/>
        <v>53256661</v>
      </c>
      <c r="I201" s="12">
        <f t="shared" ref="I201:L203" si="151">I202</f>
        <v>55190455</v>
      </c>
      <c r="J201" s="12">
        <f t="shared" si="150"/>
        <v>0</v>
      </c>
      <c r="K201" s="12">
        <f t="shared" si="150"/>
        <v>55190455</v>
      </c>
      <c r="L201" s="12">
        <f t="shared" si="151"/>
        <v>56846169</v>
      </c>
      <c r="M201" s="12">
        <f t="shared" si="150"/>
        <v>0</v>
      </c>
      <c r="N201" s="12">
        <f t="shared" si="150"/>
        <v>56846169</v>
      </c>
    </row>
    <row r="202" spans="1:14" s="15" customFormat="1" x14ac:dyDescent="0.2">
      <c r="A202" s="26" t="s">
        <v>157</v>
      </c>
      <c r="B202" s="27" t="s">
        <v>103</v>
      </c>
      <c r="C202" s="27" t="s">
        <v>103</v>
      </c>
      <c r="D202" s="27" t="s">
        <v>158</v>
      </c>
      <c r="E202" s="27" t="s">
        <v>0</v>
      </c>
      <c r="F202" s="12">
        <f t="shared" si="150"/>
        <v>53256661</v>
      </c>
      <c r="G202" s="12">
        <f t="shared" si="150"/>
        <v>0</v>
      </c>
      <c r="H202" s="12">
        <f t="shared" si="150"/>
        <v>53256661</v>
      </c>
      <c r="I202" s="12">
        <f t="shared" si="151"/>
        <v>55190455</v>
      </c>
      <c r="J202" s="12">
        <f t="shared" si="150"/>
        <v>0</v>
      </c>
      <c r="K202" s="12">
        <f t="shared" si="150"/>
        <v>55190455</v>
      </c>
      <c r="L202" s="12">
        <f t="shared" si="151"/>
        <v>56846169</v>
      </c>
      <c r="M202" s="12">
        <f t="shared" si="150"/>
        <v>0</v>
      </c>
      <c r="N202" s="12">
        <f t="shared" si="150"/>
        <v>56846169</v>
      </c>
    </row>
    <row r="203" spans="1:14" s="15" customFormat="1" x14ac:dyDescent="0.2">
      <c r="A203" s="26" t="s">
        <v>201</v>
      </c>
      <c r="B203" s="27" t="s">
        <v>103</v>
      </c>
      <c r="C203" s="27" t="s">
        <v>103</v>
      </c>
      <c r="D203" s="27" t="s">
        <v>202</v>
      </c>
      <c r="E203" s="27" t="s">
        <v>0</v>
      </c>
      <c r="F203" s="12">
        <f t="shared" si="150"/>
        <v>53256661</v>
      </c>
      <c r="G203" s="12">
        <f t="shared" si="150"/>
        <v>0</v>
      </c>
      <c r="H203" s="12">
        <f t="shared" si="150"/>
        <v>53256661</v>
      </c>
      <c r="I203" s="12">
        <f t="shared" si="151"/>
        <v>55190455</v>
      </c>
      <c r="J203" s="12">
        <f t="shared" si="150"/>
        <v>0</v>
      </c>
      <c r="K203" s="12">
        <f t="shared" si="150"/>
        <v>55190455</v>
      </c>
      <c r="L203" s="12">
        <f t="shared" si="151"/>
        <v>56846169</v>
      </c>
      <c r="M203" s="12">
        <f t="shared" si="150"/>
        <v>0</v>
      </c>
      <c r="N203" s="12">
        <f t="shared" si="150"/>
        <v>56846169</v>
      </c>
    </row>
    <row r="204" spans="1:14" s="15" customFormat="1" ht="13.5" customHeight="1" x14ac:dyDescent="0.2">
      <c r="A204" s="29" t="s">
        <v>120</v>
      </c>
      <c r="B204" s="30" t="s">
        <v>103</v>
      </c>
      <c r="C204" s="30" t="s">
        <v>103</v>
      </c>
      <c r="D204" s="30" t="s">
        <v>203</v>
      </c>
      <c r="E204" s="30" t="s">
        <v>0</v>
      </c>
      <c r="F204" s="13">
        <f t="shared" ref="F204:N204" si="152">F205+F207+F206+F208</f>
        <v>53256661</v>
      </c>
      <c r="G204" s="13">
        <f t="shared" ref="G204:H204" si="153">G205+G207+G206+G208</f>
        <v>0</v>
      </c>
      <c r="H204" s="13">
        <f t="shared" si="153"/>
        <v>53256661</v>
      </c>
      <c r="I204" s="13">
        <f t="shared" si="152"/>
        <v>55190455</v>
      </c>
      <c r="J204" s="13">
        <f t="shared" si="152"/>
        <v>0</v>
      </c>
      <c r="K204" s="13">
        <f t="shared" si="152"/>
        <v>55190455</v>
      </c>
      <c r="L204" s="13">
        <f t="shared" si="152"/>
        <v>56846169</v>
      </c>
      <c r="M204" s="13">
        <f t="shared" si="152"/>
        <v>0</v>
      </c>
      <c r="N204" s="13">
        <f t="shared" si="152"/>
        <v>56846169</v>
      </c>
    </row>
    <row r="205" spans="1:14" s="15" customFormat="1" x14ac:dyDescent="0.2">
      <c r="A205" s="16" t="s">
        <v>17</v>
      </c>
      <c r="B205" s="31" t="s">
        <v>103</v>
      </c>
      <c r="C205" s="31" t="s">
        <v>103</v>
      </c>
      <c r="D205" s="31" t="s">
        <v>203</v>
      </c>
      <c r="E205" s="31" t="s">
        <v>18</v>
      </c>
      <c r="F205" s="17">
        <v>48160945</v>
      </c>
      <c r="G205" s="17">
        <v>0</v>
      </c>
      <c r="H205" s="17">
        <f>F205+G205</f>
        <v>48160945</v>
      </c>
      <c r="I205" s="17">
        <v>49894739</v>
      </c>
      <c r="J205" s="17">
        <v>0</v>
      </c>
      <c r="K205" s="17">
        <f t="shared" ref="K205:K208" si="154">I205+J205</f>
        <v>49894739</v>
      </c>
      <c r="L205" s="17">
        <v>51391581</v>
      </c>
      <c r="M205" s="17">
        <v>0</v>
      </c>
      <c r="N205" s="17">
        <f>L205+M205</f>
        <v>51391581</v>
      </c>
    </row>
    <row r="206" spans="1:14" s="15" customFormat="1" x14ac:dyDescent="0.2">
      <c r="A206" s="16" t="s">
        <v>19</v>
      </c>
      <c r="B206" s="31" t="s">
        <v>103</v>
      </c>
      <c r="C206" s="31" t="s">
        <v>103</v>
      </c>
      <c r="D206" s="31" t="s">
        <v>203</v>
      </c>
      <c r="E206" s="31" t="s">
        <v>20</v>
      </c>
      <c r="F206" s="17">
        <v>4563283</v>
      </c>
      <c r="G206" s="17">
        <v>0</v>
      </c>
      <c r="H206" s="17">
        <f>F206+G206</f>
        <v>4563283</v>
      </c>
      <c r="I206" s="17">
        <v>4463153</v>
      </c>
      <c r="J206" s="17">
        <v>0</v>
      </c>
      <c r="K206" s="17">
        <f t="shared" si="154"/>
        <v>4463153</v>
      </c>
      <c r="L206" s="17">
        <v>4597048</v>
      </c>
      <c r="M206" s="17">
        <v>0</v>
      </c>
      <c r="N206" s="17">
        <f>L206+M206</f>
        <v>4597048</v>
      </c>
    </row>
    <row r="207" spans="1:14" s="15" customFormat="1" hidden="1" outlineLevel="1" x14ac:dyDescent="0.2">
      <c r="A207" s="16" t="s">
        <v>68</v>
      </c>
      <c r="B207" s="31" t="s">
        <v>103</v>
      </c>
      <c r="C207" s="31" t="s">
        <v>103</v>
      </c>
      <c r="D207" s="31" t="s">
        <v>203</v>
      </c>
      <c r="E207" s="31" t="s">
        <v>69</v>
      </c>
      <c r="F207" s="17">
        <v>0</v>
      </c>
      <c r="G207" s="17">
        <v>0</v>
      </c>
      <c r="H207" s="17">
        <f>F207+G207</f>
        <v>0</v>
      </c>
      <c r="I207" s="17">
        <v>0</v>
      </c>
      <c r="J207" s="17">
        <v>0</v>
      </c>
      <c r="K207" s="17">
        <f t="shared" si="154"/>
        <v>0</v>
      </c>
      <c r="L207" s="17">
        <v>0</v>
      </c>
      <c r="M207" s="17">
        <v>0</v>
      </c>
      <c r="N207" s="17">
        <f>L207+M207</f>
        <v>0</v>
      </c>
    </row>
    <row r="208" spans="1:14" s="15" customFormat="1" collapsed="1" x14ac:dyDescent="0.2">
      <c r="A208" s="16" t="s">
        <v>36</v>
      </c>
      <c r="B208" s="31" t="s">
        <v>103</v>
      </c>
      <c r="C208" s="31" t="s">
        <v>103</v>
      </c>
      <c r="D208" s="31" t="s">
        <v>203</v>
      </c>
      <c r="E208" s="31" t="s">
        <v>37</v>
      </c>
      <c r="F208" s="17">
        <v>532433</v>
      </c>
      <c r="G208" s="17">
        <v>0</v>
      </c>
      <c r="H208" s="17">
        <f>F208+G208</f>
        <v>532433</v>
      </c>
      <c r="I208" s="17">
        <v>832563</v>
      </c>
      <c r="J208" s="17">
        <v>0</v>
      </c>
      <c r="K208" s="17">
        <f t="shared" si="154"/>
        <v>832563</v>
      </c>
      <c r="L208" s="17">
        <v>857540</v>
      </c>
      <c r="M208" s="17">
        <v>0</v>
      </c>
      <c r="N208" s="17">
        <f>L208+M208</f>
        <v>857540</v>
      </c>
    </row>
    <row r="209" spans="1:14" s="15" customFormat="1" ht="12" customHeight="1" x14ac:dyDescent="0.2">
      <c r="A209" s="26" t="s">
        <v>214</v>
      </c>
      <c r="B209" s="27" t="s">
        <v>204</v>
      </c>
      <c r="C209" s="27" t="s">
        <v>0</v>
      </c>
      <c r="D209" s="27" t="s">
        <v>0</v>
      </c>
      <c r="E209" s="27" t="s">
        <v>0</v>
      </c>
      <c r="F209" s="20">
        <f t="shared" ref="F209:N210" si="155">F210</f>
        <v>4528603.67</v>
      </c>
      <c r="G209" s="20">
        <f t="shared" si="155"/>
        <v>0</v>
      </c>
      <c r="H209" s="20">
        <f t="shared" si="155"/>
        <v>4528603.67</v>
      </c>
      <c r="I209" s="20">
        <f t="shared" si="155"/>
        <v>4339947.3</v>
      </c>
      <c r="J209" s="20">
        <f t="shared" si="155"/>
        <v>0</v>
      </c>
      <c r="K209" s="20">
        <f t="shared" si="155"/>
        <v>4339947.3</v>
      </c>
      <c r="L209" s="20">
        <f t="shared" si="155"/>
        <v>4368464.25</v>
      </c>
      <c r="M209" s="20">
        <f t="shared" si="155"/>
        <v>0</v>
      </c>
      <c r="N209" s="20">
        <f t="shared" si="155"/>
        <v>4368464.25</v>
      </c>
    </row>
    <row r="210" spans="1:14" s="15" customFormat="1" x14ac:dyDescent="0.2">
      <c r="A210" s="26" t="s">
        <v>205</v>
      </c>
      <c r="B210" s="27" t="s">
        <v>204</v>
      </c>
      <c r="C210" s="27" t="s">
        <v>204</v>
      </c>
      <c r="D210" s="27" t="s">
        <v>0</v>
      </c>
      <c r="E210" s="27" t="s">
        <v>0</v>
      </c>
      <c r="F210" s="20">
        <f t="shared" si="155"/>
        <v>4528603.67</v>
      </c>
      <c r="G210" s="20">
        <f t="shared" si="155"/>
        <v>0</v>
      </c>
      <c r="H210" s="20">
        <f t="shared" si="155"/>
        <v>4528603.67</v>
      </c>
      <c r="I210" s="20">
        <f t="shared" si="155"/>
        <v>4339947.3</v>
      </c>
      <c r="J210" s="20">
        <f t="shared" si="155"/>
        <v>0</v>
      </c>
      <c r="K210" s="20">
        <f t="shared" si="155"/>
        <v>4339947.3</v>
      </c>
      <c r="L210" s="20">
        <f t="shared" si="155"/>
        <v>4368464.25</v>
      </c>
      <c r="M210" s="20">
        <f t="shared" si="155"/>
        <v>0</v>
      </c>
      <c r="N210" s="20">
        <f t="shared" si="155"/>
        <v>4368464.25</v>
      </c>
    </row>
    <row r="211" spans="1:14" s="15" customFormat="1" x14ac:dyDescent="0.2">
      <c r="A211" s="43" t="s">
        <v>201</v>
      </c>
      <c r="B211" s="44" t="s">
        <v>204</v>
      </c>
      <c r="C211" s="44" t="s">
        <v>204</v>
      </c>
      <c r="D211" s="44" t="s">
        <v>236</v>
      </c>
      <c r="E211" s="44" t="s">
        <v>0</v>
      </c>
      <c r="F211" s="21">
        <f t="shared" ref="F211:N212" si="156">F212</f>
        <v>4528603.67</v>
      </c>
      <c r="G211" s="21">
        <f t="shared" si="156"/>
        <v>0</v>
      </c>
      <c r="H211" s="21">
        <f t="shared" si="156"/>
        <v>4528603.67</v>
      </c>
      <c r="I211" s="21">
        <f t="shared" si="156"/>
        <v>4339947.3</v>
      </c>
      <c r="J211" s="21">
        <f t="shared" si="156"/>
        <v>0</v>
      </c>
      <c r="K211" s="21">
        <f t="shared" si="156"/>
        <v>4339947.3</v>
      </c>
      <c r="L211" s="21">
        <f t="shared" si="156"/>
        <v>4368464.25</v>
      </c>
      <c r="M211" s="21">
        <f t="shared" si="156"/>
        <v>0</v>
      </c>
      <c r="N211" s="21">
        <f t="shared" si="156"/>
        <v>4368464.25</v>
      </c>
    </row>
    <row r="212" spans="1:14" s="15" customFormat="1" ht="14.25" customHeight="1" x14ac:dyDescent="0.2">
      <c r="A212" s="45" t="s">
        <v>120</v>
      </c>
      <c r="B212" s="46" t="s">
        <v>204</v>
      </c>
      <c r="C212" s="46" t="s">
        <v>204</v>
      </c>
      <c r="D212" s="46" t="s">
        <v>237</v>
      </c>
      <c r="E212" s="46" t="s">
        <v>0</v>
      </c>
      <c r="F212" s="22">
        <f t="shared" si="156"/>
        <v>4528603.67</v>
      </c>
      <c r="G212" s="22">
        <f t="shared" si="156"/>
        <v>0</v>
      </c>
      <c r="H212" s="22">
        <f t="shared" si="156"/>
        <v>4528603.67</v>
      </c>
      <c r="I212" s="22">
        <f t="shared" si="156"/>
        <v>4339947.3</v>
      </c>
      <c r="J212" s="22">
        <f t="shared" si="156"/>
        <v>0</v>
      </c>
      <c r="K212" s="22">
        <f t="shared" si="156"/>
        <v>4339947.3</v>
      </c>
      <c r="L212" s="22">
        <f t="shared" si="156"/>
        <v>4368464.25</v>
      </c>
      <c r="M212" s="22">
        <f t="shared" si="156"/>
        <v>0</v>
      </c>
      <c r="N212" s="22">
        <f t="shared" si="156"/>
        <v>4368464.25</v>
      </c>
    </row>
    <row r="213" spans="1:14" s="15" customFormat="1" ht="25.5" x14ac:dyDescent="0.2">
      <c r="A213" s="41" t="s">
        <v>238</v>
      </c>
      <c r="B213" s="42" t="s">
        <v>204</v>
      </c>
      <c r="C213" s="42" t="s">
        <v>204</v>
      </c>
      <c r="D213" s="42" t="s">
        <v>237</v>
      </c>
      <c r="E213" s="42">
        <v>600</v>
      </c>
      <c r="F213" s="18">
        <v>4528603.67</v>
      </c>
      <c r="G213" s="18">
        <v>0</v>
      </c>
      <c r="H213" s="17">
        <f>F213+G213</f>
        <v>4528603.67</v>
      </c>
      <c r="I213" s="18">
        <v>4339947.3</v>
      </c>
      <c r="J213" s="18">
        <v>0</v>
      </c>
      <c r="K213" s="17">
        <f>I213+J213</f>
        <v>4339947.3</v>
      </c>
      <c r="L213" s="18">
        <v>4368464.25</v>
      </c>
      <c r="M213" s="18">
        <v>0</v>
      </c>
      <c r="N213" s="17">
        <f>L213+M213</f>
        <v>4368464.25</v>
      </c>
    </row>
    <row r="214" spans="1:14" s="15" customFormat="1" x14ac:dyDescent="0.2">
      <c r="A214" s="43" t="s">
        <v>215</v>
      </c>
      <c r="B214" s="27" t="s">
        <v>87</v>
      </c>
      <c r="C214" s="27" t="s">
        <v>0</v>
      </c>
      <c r="D214" s="27" t="s">
        <v>0</v>
      </c>
      <c r="E214" s="27" t="s">
        <v>0</v>
      </c>
      <c r="F214" s="20">
        <f t="shared" ref="F214:N215" si="157">F215</f>
        <v>18470581.309999999</v>
      </c>
      <c r="G214" s="20">
        <f t="shared" si="157"/>
        <v>0</v>
      </c>
      <c r="H214" s="20">
        <f t="shared" si="157"/>
        <v>18470581.309999999</v>
      </c>
      <c r="I214" s="20">
        <f t="shared" si="157"/>
        <v>24262063.050000001</v>
      </c>
      <c r="J214" s="20">
        <f t="shared" si="157"/>
        <v>0</v>
      </c>
      <c r="K214" s="20">
        <f t="shared" si="157"/>
        <v>24262063.050000001</v>
      </c>
      <c r="L214" s="20">
        <f t="shared" si="157"/>
        <v>24886226.859999999</v>
      </c>
      <c r="M214" s="20">
        <f t="shared" si="157"/>
        <v>0</v>
      </c>
      <c r="N214" s="20">
        <f t="shared" si="157"/>
        <v>24886226.859999999</v>
      </c>
    </row>
    <row r="215" spans="1:14" s="15" customFormat="1" x14ac:dyDescent="0.2">
      <c r="A215" s="26" t="s">
        <v>206</v>
      </c>
      <c r="B215" s="27" t="s">
        <v>87</v>
      </c>
      <c r="C215" s="27" t="s">
        <v>28</v>
      </c>
      <c r="D215" s="27" t="s">
        <v>0</v>
      </c>
      <c r="E215" s="27" t="s">
        <v>0</v>
      </c>
      <c r="F215" s="20">
        <f t="shared" si="157"/>
        <v>18470581.309999999</v>
      </c>
      <c r="G215" s="20">
        <f t="shared" si="157"/>
        <v>0</v>
      </c>
      <c r="H215" s="20">
        <f t="shared" si="157"/>
        <v>18470581.309999999</v>
      </c>
      <c r="I215" s="20">
        <f t="shared" si="157"/>
        <v>24262063.050000001</v>
      </c>
      <c r="J215" s="20">
        <f t="shared" si="157"/>
        <v>0</v>
      </c>
      <c r="K215" s="20">
        <f t="shared" si="157"/>
        <v>24262063.050000001</v>
      </c>
      <c r="L215" s="20">
        <f t="shared" si="157"/>
        <v>24886226.859999999</v>
      </c>
      <c r="M215" s="20">
        <f t="shared" si="157"/>
        <v>0</v>
      </c>
      <c r="N215" s="20">
        <f t="shared" si="157"/>
        <v>24886226.859999999</v>
      </c>
    </row>
    <row r="216" spans="1:14" s="15" customFormat="1" x14ac:dyDescent="0.2">
      <c r="A216" s="43" t="s">
        <v>201</v>
      </c>
      <c r="B216" s="27" t="s">
        <v>87</v>
      </c>
      <c r="C216" s="27" t="s">
        <v>28</v>
      </c>
      <c r="D216" s="44" t="s">
        <v>239</v>
      </c>
      <c r="E216" s="44" t="s">
        <v>0</v>
      </c>
      <c r="F216" s="21">
        <f t="shared" ref="F216:N217" si="158">F217</f>
        <v>18470581.309999999</v>
      </c>
      <c r="G216" s="21">
        <f t="shared" si="158"/>
        <v>0</v>
      </c>
      <c r="H216" s="21">
        <f t="shared" si="158"/>
        <v>18470581.309999999</v>
      </c>
      <c r="I216" s="21">
        <f t="shared" si="158"/>
        <v>24262063.050000001</v>
      </c>
      <c r="J216" s="21">
        <f t="shared" si="158"/>
        <v>0</v>
      </c>
      <c r="K216" s="21">
        <f t="shared" si="158"/>
        <v>24262063.050000001</v>
      </c>
      <c r="L216" s="21">
        <f t="shared" si="158"/>
        <v>24886226.859999999</v>
      </c>
      <c r="M216" s="21">
        <f t="shared" si="158"/>
        <v>0</v>
      </c>
      <c r="N216" s="21">
        <f t="shared" si="158"/>
        <v>24886226.859999999</v>
      </c>
    </row>
    <row r="217" spans="1:14" s="15" customFormat="1" ht="15" customHeight="1" x14ac:dyDescent="0.2">
      <c r="A217" s="45" t="s">
        <v>120</v>
      </c>
      <c r="B217" s="30" t="s">
        <v>87</v>
      </c>
      <c r="C217" s="30" t="s">
        <v>28</v>
      </c>
      <c r="D217" s="46" t="s">
        <v>240</v>
      </c>
      <c r="E217" s="46" t="s">
        <v>0</v>
      </c>
      <c r="F217" s="22">
        <f t="shared" si="158"/>
        <v>18470581.309999999</v>
      </c>
      <c r="G217" s="22">
        <f t="shared" si="158"/>
        <v>0</v>
      </c>
      <c r="H217" s="22">
        <f t="shared" si="158"/>
        <v>18470581.309999999</v>
      </c>
      <c r="I217" s="22">
        <f t="shared" si="158"/>
        <v>24262063.050000001</v>
      </c>
      <c r="J217" s="22">
        <f t="shared" si="158"/>
        <v>0</v>
      </c>
      <c r="K217" s="22">
        <f t="shared" si="158"/>
        <v>24262063.050000001</v>
      </c>
      <c r="L217" s="22">
        <f t="shared" si="158"/>
        <v>24886226.859999999</v>
      </c>
      <c r="M217" s="22">
        <f t="shared" si="158"/>
        <v>0</v>
      </c>
      <c r="N217" s="22">
        <f t="shared" si="158"/>
        <v>24886226.859999999</v>
      </c>
    </row>
    <row r="218" spans="1:14" s="15" customFormat="1" ht="25.5" x14ac:dyDescent="0.2">
      <c r="A218" s="41" t="s">
        <v>238</v>
      </c>
      <c r="B218" s="42" t="s">
        <v>87</v>
      </c>
      <c r="C218" s="42" t="s">
        <v>28</v>
      </c>
      <c r="D218" s="42" t="s">
        <v>240</v>
      </c>
      <c r="E218" s="42">
        <v>600</v>
      </c>
      <c r="F218" s="18">
        <v>18470581.309999999</v>
      </c>
      <c r="G218" s="18">
        <v>0</v>
      </c>
      <c r="H218" s="17">
        <f>F218+G218</f>
        <v>18470581.309999999</v>
      </c>
      <c r="I218" s="18">
        <v>24262063.050000001</v>
      </c>
      <c r="J218" s="18">
        <v>0</v>
      </c>
      <c r="K218" s="17">
        <f>I218+J218</f>
        <v>24262063.050000001</v>
      </c>
      <c r="L218" s="18">
        <v>24886226.859999999</v>
      </c>
      <c r="M218" s="18">
        <v>0</v>
      </c>
      <c r="N218" s="17">
        <f>L218+M218</f>
        <v>24886226.859999999</v>
      </c>
    </row>
    <row r="219" spans="1:14" s="15" customFormat="1" x14ac:dyDescent="0.2">
      <c r="A219" s="26" t="s">
        <v>219</v>
      </c>
      <c r="B219" s="27" t="s">
        <v>111</v>
      </c>
      <c r="C219" s="27" t="s">
        <v>0</v>
      </c>
      <c r="D219" s="27" t="s">
        <v>0</v>
      </c>
      <c r="E219" s="27" t="s">
        <v>0</v>
      </c>
      <c r="F219" s="12">
        <f t="shared" ref="F219:N219" si="159">F220+F225+F238</f>
        <v>29037016</v>
      </c>
      <c r="G219" s="12">
        <f t="shared" ref="G219:H219" si="160">G220+G225+G238</f>
        <v>-7179805.2000000002</v>
      </c>
      <c r="H219" s="12">
        <f t="shared" si="160"/>
        <v>21857210.800000001</v>
      </c>
      <c r="I219" s="12">
        <f t="shared" si="159"/>
        <v>32628870</v>
      </c>
      <c r="J219" s="12">
        <f t="shared" si="159"/>
        <v>0</v>
      </c>
      <c r="K219" s="12">
        <f t="shared" si="159"/>
        <v>32628870</v>
      </c>
      <c r="L219" s="12">
        <f t="shared" si="159"/>
        <v>32475804</v>
      </c>
      <c r="M219" s="12">
        <f t="shared" si="159"/>
        <v>0</v>
      </c>
      <c r="N219" s="12">
        <f t="shared" si="159"/>
        <v>32475804</v>
      </c>
    </row>
    <row r="220" spans="1:14" s="15" customFormat="1" x14ac:dyDescent="0.2">
      <c r="A220" s="26" t="s">
        <v>112</v>
      </c>
      <c r="B220" s="27" t="s">
        <v>111</v>
      </c>
      <c r="C220" s="27" t="s">
        <v>8</v>
      </c>
      <c r="D220" s="27" t="s">
        <v>0</v>
      </c>
      <c r="E220" s="27" t="s">
        <v>0</v>
      </c>
      <c r="F220" s="12">
        <f t="shared" ref="F220:N223" si="161">F221</f>
        <v>1500000</v>
      </c>
      <c r="G220" s="12">
        <f t="shared" si="161"/>
        <v>0</v>
      </c>
      <c r="H220" s="12">
        <f t="shared" si="161"/>
        <v>1500000</v>
      </c>
      <c r="I220" s="12">
        <f t="shared" ref="I220:L223" si="162">I221</f>
        <v>1500000</v>
      </c>
      <c r="J220" s="12">
        <f t="shared" si="161"/>
        <v>0</v>
      </c>
      <c r="K220" s="12">
        <f t="shared" si="161"/>
        <v>1500000</v>
      </c>
      <c r="L220" s="12">
        <f t="shared" si="162"/>
        <v>1500000</v>
      </c>
      <c r="M220" s="12">
        <f t="shared" si="161"/>
        <v>0</v>
      </c>
      <c r="N220" s="12">
        <f t="shared" si="161"/>
        <v>1500000</v>
      </c>
    </row>
    <row r="221" spans="1:14" s="15" customFormat="1" x14ac:dyDescent="0.2">
      <c r="A221" s="26" t="s">
        <v>113</v>
      </c>
      <c r="B221" s="27" t="s">
        <v>111</v>
      </c>
      <c r="C221" s="27" t="s">
        <v>8</v>
      </c>
      <c r="D221" s="27" t="s">
        <v>114</v>
      </c>
      <c r="E221" s="27" t="s">
        <v>0</v>
      </c>
      <c r="F221" s="12">
        <f t="shared" si="161"/>
        <v>1500000</v>
      </c>
      <c r="G221" s="12">
        <f t="shared" si="161"/>
        <v>0</v>
      </c>
      <c r="H221" s="12">
        <f t="shared" si="161"/>
        <v>1500000</v>
      </c>
      <c r="I221" s="12">
        <f t="shared" si="162"/>
        <v>1500000</v>
      </c>
      <c r="J221" s="12">
        <f t="shared" si="161"/>
        <v>0</v>
      </c>
      <c r="K221" s="12">
        <f t="shared" si="161"/>
        <v>1500000</v>
      </c>
      <c r="L221" s="12">
        <f t="shared" si="162"/>
        <v>1500000</v>
      </c>
      <c r="M221" s="12">
        <f t="shared" si="161"/>
        <v>0</v>
      </c>
      <c r="N221" s="12">
        <f t="shared" si="161"/>
        <v>1500000</v>
      </c>
    </row>
    <row r="222" spans="1:14" s="15" customFormat="1" x14ac:dyDescent="0.2">
      <c r="A222" s="26" t="s">
        <v>115</v>
      </c>
      <c r="B222" s="27" t="s">
        <v>111</v>
      </c>
      <c r="C222" s="27" t="s">
        <v>8</v>
      </c>
      <c r="D222" s="27" t="s">
        <v>116</v>
      </c>
      <c r="E222" s="27" t="s">
        <v>0</v>
      </c>
      <c r="F222" s="12">
        <f t="shared" si="161"/>
        <v>1500000</v>
      </c>
      <c r="G222" s="12">
        <f t="shared" si="161"/>
        <v>0</v>
      </c>
      <c r="H222" s="12">
        <f t="shared" si="161"/>
        <v>1500000</v>
      </c>
      <c r="I222" s="12">
        <f t="shared" si="162"/>
        <v>1500000</v>
      </c>
      <c r="J222" s="12">
        <f t="shared" si="161"/>
        <v>0</v>
      </c>
      <c r="K222" s="12">
        <f t="shared" si="161"/>
        <v>1500000</v>
      </c>
      <c r="L222" s="12">
        <f t="shared" si="162"/>
        <v>1500000</v>
      </c>
      <c r="M222" s="12">
        <f t="shared" si="161"/>
        <v>0</v>
      </c>
      <c r="N222" s="12">
        <f t="shared" si="161"/>
        <v>1500000</v>
      </c>
    </row>
    <row r="223" spans="1:14" s="15" customFormat="1" ht="24.75" customHeight="1" x14ac:dyDescent="0.2">
      <c r="A223" s="29" t="s">
        <v>117</v>
      </c>
      <c r="B223" s="30" t="s">
        <v>111</v>
      </c>
      <c r="C223" s="30" t="s">
        <v>8</v>
      </c>
      <c r="D223" s="30" t="s">
        <v>118</v>
      </c>
      <c r="E223" s="30" t="s">
        <v>0</v>
      </c>
      <c r="F223" s="13">
        <f t="shared" si="161"/>
        <v>1500000</v>
      </c>
      <c r="G223" s="13">
        <f t="shared" si="161"/>
        <v>0</v>
      </c>
      <c r="H223" s="13">
        <f t="shared" si="161"/>
        <v>1500000</v>
      </c>
      <c r="I223" s="13">
        <f t="shared" si="162"/>
        <v>1500000</v>
      </c>
      <c r="J223" s="13">
        <f t="shared" si="161"/>
        <v>0</v>
      </c>
      <c r="K223" s="13">
        <f t="shared" si="161"/>
        <v>1500000</v>
      </c>
      <c r="L223" s="13">
        <f t="shared" si="162"/>
        <v>1500000</v>
      </c>
      <c r="M223" s="13">
        <f t="shared" si="161"/>
        <v>0</v>
      </c>
      <c r="N223" s="13">
        <f t="shared" si="161"/>
        <v>1500000</v>
      </c>
    </row>
    <row r="224" spans="1:14" s="15" customFormat="1" x14ac:dyDescent="0.2">
      <c r="A224" s="16" t="s">
        <v>68</v>
      </c>
      <c r="B224" s="31" t="s">
        <v>111</v>
      </c>
      <c r="C224" s="31" t="s">
        <v>8</v>
      </c>
      <c r="D224" s="31" t="s">
        <v>118</v>
      </c>
      <c r="E224" s="31" t="s">
        <v>69</v>
      </c>
      <c r="F224" s="17">
        <v>1500000</v>
      </c>
      <c r="G224" s="17">
        <v>0</v>
      </c>
      <c r="H224" s="17">
        <f>F224+G224</f>
        <v>1500000</v>
      </c>
      <c r="I224" s="17">
        <v>1500000</v>
      </c>
      <c r="J224" s="17">
        <v>0</v>
      </c>
      <c r="K224" s="17">
        <f>I224+J224</f>
        <v>1500000</v>
      </c>
      <c r="L224" s="17">
        <v>1500000</v>
      </c>
      <c r="M224" s="17">
        <v>0</v>
      </c>
      <c r="N224" s="17">
        <f>L224+M224</f>
        <v>1500000</v>
      </c>
    </row>
    <row r="225" spans="1:14" s="15" customFormat="1" x14ac:dyDescent="0.2">
      <c r="A225" s="26" t="s">
        <v>119</v>
      </c>
      <c r="B225" s="27" t="s">
        <v>111</v>
      </c>
      <c r="C225" s="27" t="s">
        <v>10</v>
      </c>
      <c r="D225" s="27" t="s">
        <v>0</v>
      </c>
      <c r="E225" s="27" t="s">
        <v>0</v>
      </c>
      <c r="F225" s="12">
        <f t="shared" ref="F225:N226" si="163">F226</f>
        <v>20247312</v>
      </c>
      <c r="G225" s="12">
        <f t="shared" si="163"/>
        <v>-7679805.2000000002</v>
      </c>
      <c r="H225" s="12">
        <f t="shared" si="163"/>
        <v>12567506.800000001</v>
      </c>
      <c r="I225" s="12">
        <f t="shared" ref="I225:L226" si="164">I226</f>
        <v>23642344</v>
      </c>
      <c r="J225" s="12">
        <f t="shared" si="163"/>
        <v>0</v>
      </c>
      <c r="K225" s="12">
        <f t="shared" si="163"/>
        <v>23642344</v>
      </c>
      <c r="L225" s="12">
        <f t="shared" si="164"/>
        <v>23264682</v>
      </c>
      <c r="M225" s="12">
        <f t="shared" si="163"/>
        <v>0</v>
      </c>
      <c r="N225" s="12">
        <f t="shared" si="163"/>
        <v>23264682</v>
      </c>
    </row>
    <row r="226" spans="1:14" s="15" customFormat="1" ht="25.5" x14ac:dyDescent="0.2">
      <c r="A226" s="26" t="s">
        <v>90</v>
      </c>
      <c r="B226" s="27" t="s">
        <v>111</v>
      </c>
      <c r="C226" s="27" t="s">
        <v>10</v>
      </c>
      <c r="D226" s="27" t="s">
        <v>91</v>
      </c>
      <c r="E226" s="27" t="s">
        <v>0</v>
      </c>
      <c r="F226" s="12">
        <f t="shared" si="163"/>
        <v>20247312</v>
      </c>
      <c r="G226" s="12">
        <f t="shared" si="163"/>
        <v>-7679805.2000000002</v>
      </c>
      <c r="H226" s="12">
        <f t="shared" si="163"/>
        <v>12567506.800000001</v>
      </c>
      <c r="I226" s="12">
        <f t="shared" si="164"/>
        <v>23642344</v>
      </c>
      <c r="J226" s="12">
        <f t="shared" si="163"/>
        <v>0</v>
      </c>
      <c r="K226" s="12">
        <f t="shared" si="163"/>
        <v>23642344</v>
      </c>
      <c r="L226" s="12">
        <f t="shared" si="164"/>
        <v>23264682</v>
      </c>
      <c r="M226" s="12">
        <f t="shared" si="163"/>
        <v>0</v>
      </c>
      <c r="N226" s="12">
        <f t="shared" si="163"/>
        <v>23264682</v>
      </c>
    </row>
    <row r="227" spans="1:14" s="15" customFormat="1" ht="25.5" x14ac:dyDescent="0.2">
      <c r="A227" s="26" t="s">
        <v>107</v>
      </c>
      <c r="B227" s="27" t="s">
        <v>111</v>
      </c>
      <c r="C227" s="27" t="s">
        <v>10</v>
      </c>
      <c r="D227" s="27" t="s">
        <v>108</v>
      </c>
      <c r="E227" s="27" t="s">
        <v>0</v>
      </c>
      <c r="F227" s="12">
        <f t="shared" ref="F227:N227" si="165">F228+F231+F234+F236</f>
        <v>20247312</v>
      </c>
      <c r="G227" s="12">
        <f t="shared" ref="G227:H227" si="166">G228+G231+G234+G236</f>
        <v>-7679805.2000000002</v>
      </c>
      <c r="H227" s="12">
        <f t="shared" si="166"/>
        <v>12567506.800000001</v>
      </c>
      <c r="I227" s="12">
        <f t="shared" si="165"/>
        <v>23642344</v>
      </c>
      <c r="J227" s="12">
        <f t="shared" si="165"/>
        <v>0</v>
      </c>
      <c r="K227" s="12">
        <f t="shared" si="165"/>
        <v>23642344</v>
      </c>
      <c r="L227" s="12">
        <f t="shared" si="165"/>
        <v>23264682</v>
      </c>
      <c r="M227" s="12">
        <f t="shared" si="165"/>
        <v>0</v>
      </c>
      <c r="N227" s="12">
        <f t="shared" si="165"/>
        <v>23264682</v>
      </c>
    </row>
    <row r="228" spans="1:14" s="15" customFormat="1" ht="27" x14ac:dyDescent="0.2">
      <c r="A228" s="29" t="s">
        <v>131</v>
      </c>
      <c r="B228" s="30" t="s">
        <v>111</v>
      </c>
      <c r="C228" s="30" t="s">
        <v>10</v>
      </c>
      <c r="D228" s="30" t="s">
        <v>132</v>
      </c>
      <c r="E228" s="30" t="s">
        <v>0</v>
      </c>
      <c r="F228" s="13">
        <f t="shared" ref="F228:N228" si="167">F229+F230</f>
        <v>500000</v>
      </c>
      <c r="G228" s="13">
        <f t="shared" ref="G228:H228" si="168">G229+G230</f>
        <v>0</v>
      </c>
      <c r="H228" s="13">
        <f t="shared" si="168"/>
        <v>500000</v>
      </c>
      <c r="I228" s="13">
        <f t="shared" si="167"/>
        <v>3804400</v>
      </c>
      <c r="J228" s="13">
        <f t="shared" si="167"/>
        <v>0</v>
      </c>
      <c r="K228" s="13">
        <f t="shared" si="167"/>
        <v>3804400</v>
      </c>
      <c r="L228" s="13">
        <f t="shared" si="167"/>
        <v>3420046</v>
      </c>
      <c r="M228" s="13">
        <f t="shared" si="167"/>
        <v>0</v>
      </c>
      <c r="N228" s="13">
        <f t="shared" si="167"/>
        <v>3420046</v>
      </c>
    </row>
    <row r="229" spans="1:14" s="15" customFormat="1" x14ac:dyDescent="0.2">
      <c r="A229" s="16" t="s">
        <v>68</v>
      </c>
      <c r="B229" s="31" t="s">
        <v>111</v>
      </c>
      <c r="C229" s="31" t="s">
        <v>10</v>
      </c>
      <c r="D229" s="31" t="s">
        <v>132</v>
      </c>
      <c r="E229" s="31" t="s">
        <v>69</v>
      </c>
      <c r="F229" s="17">
        <v>500000</v>
      </c>
      <c r="G229" s="17">
        <v>0</v>
      </c>
      <c r="H229" s="17">
        <f>F229+G229</f>
        <v>500000</v>
      </c>
      <c r="I229" s="17">
        <v>500000</v>
      </c>
      <c r="J229" s="17">
        <v>0</v>
      </c>
      <c r="K229" s="17">
        <f t="shared" ref="K229:K230" si="169">I229+J229</f>
        <v>500000</v>
      </c>
      <c r="L229" s="17">
        <v>500000</v>
      </c>
      <c r="M229" s="17">
        <v>0</v>
      </c>
      <c r="N229" s="17">
        <f>L229+M229</f>
        <v>500000</v>
      </c>
    </row>
    <row r="230" spans="1:14" s="15" customFormat="1" ht="25.5" x14ac:dyDescent="0.2">
      <c r="A230" s="16" t="s">
        <v>262</v>
      </c>
      <c r="B230" s="31" t="s">
        <v>111</v>
      </c>
      <c r="C230" s="31" t="s">
        <v>10</v>
      </c>
      <c r="D230" s="31" t="s">
        <v>132</v>
      </c>
      <c r="E230" s="31" t="s">
        <v>35</v>
      </c>
      <c r="F230" s="17">
        <v>0</v>
      </c>
      <c r="G230" s="17">
        <v>0</v>
      </c>
      <c r="H230" s="17">
        <f>F230+G230</f>
        <v>0</v>
      </c>
      <c r="I230" s="17">
        <v>3304400</v>
      </c>
      <c r="J230" s="17">
        <v>0</v>
      </c>
      <c r="K230" s="17">
        <f t="shared" si="169"/>
        <v>3304400</v>
      </c>
      <c r="L230" s="17">
        <v>2920046</v>
      </c>
      <c r="M230" s="17">
        <v>0</v>
      </c>
      <c r="N230" s="17">
        <f>L230+M230</f>
        <v>2920046</v>
      </c>
    </row>
    <row r="231" spans="1:14" s="15" customFormat="1" ht="27" x14ac:dyDescent="0.2">
      <c r="A231" s="29" t="s">
        <v>133</v>
      </c>
      <c r="B231" s="30" t="s">
        <v>111</v>
      </c>
      <c r="C231" s="30" t="s">
        <v>10</v>
      </c>
      <c r="D231" s="30" t="s">
        <v>134</v>
      </c>
      <c r="E231" s="30" t="s">
        <v>0</v>
      </c>
      <c r="F231" s="13">
        <f t="shared" ref="F231:N231" si="170">F232+F233</f>
        <v>16650250</v>
      </c>
      <c r="G231" s="13">
        <f t="shared" ref="G231:H231" si="171">G232+G233</f>
        <v>-7679805.2000000002</v>
      </c>
      <c r="H231" s="13">
        <f t="shared" si="171"/>
        <v>8970444.8000000007</v>
      </c>
      <c r="I231" s="13">
        <f t="shared" si="170"/>
        <v>16657261</v>
      </c>
      <c r="J231" s="13">
        <f t="shared" si="170"/>
        <v>0</v>
      </c>
      <c r="K231" s="13">
        <f t="shared" si="170"/>
        <v>16657261</v>
      </c>
      <c r="L231" s="13">
        <f t="shared" si="170"/>
        <v>16663953</v>
      </c>
      <c r="M231" s="13">
        <f t="shared" si="170"/>
        <v>0</v>
      </c>
      <c r="N231" s="13">
        <f t="shared" si="170"/>
        <v>16663953</v>
      </c>
    </row>
    <row r="232" spans="1:14" s="15" customFormat="1" x14ac:dyDescent="0.2">
      <c r="A232" s="16" t="s">
        <v>19</v>
      </c>
      <c r="B232" s="31" t="s">
        <v>111</v>
      </c>
      <c r="C232" s="31" t="s">
        <v>10</v>
      </c>
      <c r="D232" s="31" t="s">
        <v>134</v>
      </c>
      <c r="E232" s="31" t="s">
        <v>20</v>
      </c>
      <c r="F232" s="17">
        <v>216085</v>
      </c>
      <c r="G232" s="17">
        <v>10396</v>
      </c>
      <c r="H232" s="17">
        <f>F232+G232</f>
        <v>226481</v>
      </c>
      <c r="I232" s="17">
        <v>223096</v>
      </c>
      <c r="J232" s="17">
        <v>0</v>
      </c>
      <c r="K232" s="17">
        <f t="shared" ref="K232:K233" si="172">I232+J232</f>
        <v>223096</v>
      </c>
      <c r="L232" s="17">
        <v>229788</v>
      </c>
      <c r="M232" s="17">
        <v>0</v>
      </c>
      <c r="N232" s="17">
        <f>L232+M232</f>
        <v>229788</v>
      </c>
    </row>
    <row r="233" spans="1:14" s="15" customFormat="1" ht="25.5" x14ac:dyDescent="0.2">
      <c r="A233" s="16" t="s">
        <v>262</v>
      </c>
      <c r="B233" s="31" t="s">
        <v>111</v>
      </c>
      <c r="C233" s="31" t="s">
        <v>10</v>
      </c>
      <c r="D233" s="31" t="s">
        <v>134</v>
      </c>
      <c r="E233" s="31" t="s">
        <v>35</v>
      </c>
      <c r="F233" s="17">
        <v>16434165</v>
      </c>
      <c r="G233" s="17">
        <v>-7690201.2000000002</v>
      </c>
      <c r="H233" s="17">
        <f>F233+G233</f>
        <v>8743963.8000000007</v>
      </c>
      <c r="I233" s="17">
        <v>16434165</v>
      </c>
      <c r="J233" s="17">
        <v>0</v>
      </c>
      <c r="K233" s="17">
        <f t="shared" si="172"/>
        <v>16434165</v>
      </c>
      <c r="L233" s="17">
        <v>16434165</v>
      </c>
      <c r="M233" s="17">
        <v>0</v>
      </c>
      <c r="N233" s="17">
        <f>L233+M233</f>
        <v>16434165</v>
      </c>
    </row>
    <row r="234" spans="1:14" s="15" customFormat="1" ht="27" hidden="1" outlineLevel="1" x14ac:dyDescent="0.2">
      <c r="A234" s="29" t="s">
        <v>242</v>
      </c>
      <c r="B234" s="30" t="s">
        <v>111</v>
      </c>
      <c r="C234" s="30" t="s">
        <v>10</v>
      </c>
      <c r="D234" s="30" t="s">
        <v>135</v>
      </c>
      <c r="E234" s="30" t="s">
        <v>0</v>
      </c>
      <c r="F234" s="13">
        <f t="shared" ref="F234:N236" si="173">F235</f>
        <v>0</v>
      </c>
      <c r="G234" s="13">
        <f t="shared" si="173"/>
        <v>0</v>
      </c>
      <c r="H234" s="13">
        <f t="shared" si="173"/>
        <v>0</v>
      </c>
      <c r="I234" s="13">
        <f t="shared" si="173"/>
        <v>0</v>
      </c>
      <c r="J234" s="13">
        <f t="shared" si="173"/>
        <v>0</v>
      </c>
      <c r="K234" s="13">
        <f t="shared" si="173"/>
        <v>0</v>
      </c>
      <c r="L234" s="13">
        <f t="shared" si="173"/>
        <v>0</v>
      </c>
      <c r="M234" s="13">
        <f t="shared" si="173"/>
        <v>0</v>
      </c>
      <c r="N234" s="13">
        <f t="shared" si="173"/>
        <v>0</v>
      </c>
    </row>
    <row r="235" spans="1:14" s="15" customFormat="1" hidden="1" outlineLevel="1" x14ac:dyDescent="0.2">
      <c r="A235" s="16" t="s">
        <v>82</v>
      </c>
      <c r="B235" s="31" t="s">
        <v>111</v>
      </c>
      <c r="C235" s="31" t="s">
        <v>10</v>
      </c>
      <c r="D235" s="31" t="s">
        <v>135</v>
      </c>
      <c r="E235" s="31" t="s">
        <v>83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</row>
    <row r="236" spans="1:14" s="15" customFormat="1" ht="14.25" customHeight="1" collapsed="1" x14ac:dyDescent="0.2">
      <c r="A236" s="29" t="s">
        <v>231</v>
      </c>
      <c r="B236" s="30" t="s">
        <v>111</v>
      </c>
      <c r="C236" s="30" t="s">
        <v>10</v>
      </c>
      <c r="D236" s="30" t="s">
        <v>230</v>
      </c>
      <c r="E236" s="30" t="s">
        <v>0</v>
      </c>
      <c r="F236" s="13">
        <f t="shared" ref="F236:N236" si="174">F237</f>
        <v>3097062</v>
      </c>
      <c r="G236" s="13">
        <f t="shared" si="174"/>
        <v>0</v>
      </c>
      <c r="H236" s="13">
        <f t="shared" si="174"/>
        <v>3097062</v>
      </c>
      <c r="I236" s="13">
        <f t="shared" si="173"/>
        <v>3180683</v>
      </c>
      <c r="J236" s="13">
        <f t="shared" si="174"/>
        <v>0</v>
      </c>
      <c r="K236" s="13">
        <f t="shared" si="174"/>
        <v>3180683</v>
      </c>
      <c r="L236" s="13">
        <f t="shared" si="173"/>
        <v>3180683</v>
      </c>
      <c r="M236" s="13">
        <f t="shared" si="174"/>
        <v>0</v>
      </c>
      <c r="N236" s="13">
        <f t="shared" si="174"/>
        <v>3180683</v>
      </c>
    </row>
    <row r="237" spans="1:14" s="15" customFormat="1" x14ac:dyDescent="0.2">
      <c r="A237" s="16" t="s">
        <v>82</v>
      </c>
      <c r="B237" s="31" t="s">
        <v>111</v>
      </c>
      <c r="C237" s="31" t="s">
        <v>10</v>
      </c>
      <c r="D237" s="31" t="s">
        <v>230</v>
      </c>
      <c r="E237" s="31" t="s">
        <v>83</v>
      </c>
      <c r="F237" s="17">
        <v>3097062</v>
      </c>
      <c r="G237" s="17">
        <v>0</v>
      </c>
      <c r="H237" s="17">
        <f>F237+G237</f>
        <v>3097062</v>
      </c>
      <c r="I237" s="17">
        <v>3180683</v>
      </c>
      <c r="J237" s="17">
        <v>0</v>
      </c>
      <c r="K237" s="17">
        <f>I237+J237</f>
        <v>3180683</v>
      </c>
      <c r="L237" s="17">
        <v>3180683</v>
      </c>
      <c r="M237" s="17">
        <v>0</v>
      </c>
      <c r="N237" s="17">
        <f>L237+M237</f>
        <v>3180683</v>
      </c>
    </row>
    <row r="238" spans="1:14" s="15" customFormat="1" x14ac:dyDescent="0.2">
      <c r="A238" s="26" t="s">
        <v>210</v>
      </c>
      <c r="B238" s="27" t="s">
        <v>111</v>
      </c>
      <c r="C238" s="27" t="s">
        <v>148</v>
      </c>
      <c r="D238" s="27" t="s">
        <v>0</v>
      </c>
      <c r="E238" s="27" t="s">
        <v>0</v>
      </c>
      <c r="F238" s="12">
        <f t="shared" ref="F238:N238" si="175">F239</f>
        <v>7289704</v>
      </c>
      <c r="G238" s="12">
        <f t="shared" si="175"/>
        <v>500000</v>
      </c>
      <c r="H238" s="12">
        <f t="shared" si="175"/>
        <v>7789704</v>
      </c>
      <c r="I238" s="12">
        <f t="shared" si="175"/>
        <v>7486526</v>
      </c>
      <c r="J238" s="12">
        <f t="shared" si="175"/>
        <v>0</v>
      </c>
      <c r="K238" s="12">
        <f t="shared" si="175"/>
        <v>7486526</v>
      </c>
      <c r="L238" s="12">
        <f t="shared" si="175"/>
        <v>7711122</v>
      </c>
      <c r="M238" s="12">
        <f t="shared" si="175"/>
        <v>0</v>
      </c>
      <c r="N238" s="12">
        <f t="shared" si="175"/>
        <v>7711122</v>
      </c>
    </row>
    <row r="239" spans="1:14" s="15" customFormat="1" x14ac:dyDescent="0.2">
      <c r="A239" s="26" t="s">
        <v>113</v>
      </c>
      <c r="B239" s="27" t="s">
        <v>111</v>
      </c>
      <c r="C239" s="27" t="s">
        <v>148</v>
      </c>
      <c r="D239" s="27" t="s">
        <v>114</v>
      </c>
      <c r="E239" s="27" t="s">
        <v>0</v>
      </c>
      <c r="F239" s="12">
        <f t="shared" ref="F239:N239" si="176">F240+F242+F244</f>
        <v>7289704</v>
      </c>
      <c r="G239" s="12">
        <f t="shared" ref="G239:H239" si="177">G240+G242+G244</f>
        <v>500000</v>
      </c>
      <c r="H239" s="12">
        <f t="shared" si="177"/>
        <v>7789704</v>
      </c>
      <c r="I239" s="12">
        <f t="shared" si="176"/>
        <v>7486526</v>
      </c>
      <c r="J239" s="12">
        <f t="shared" si="176"/>
        <v>0</v>
      </c>
      <c r="K239" s="12">
        <f t="shared" si="176"/>
        <v>7486526</v>
      </c>
      <c r="L239" s="12">
        <f t="shared" si="176"/>
        <v>7711122</v>
      </c>
      <c r="M239" s="12">
        <f t="shared" si="176"/>
        <v>0</v>
      </c>
      <c r="N239" s="12">
        <f t="shared" si="176"/>
        <v>7711122</v>
      </c>
    </row>
    <row r="240" spans="1:14" s="15" customFormat="1" ht="13.5" customHeight="1" x14ac:dyDescent="0.2">
      <c r="A240" s="29" t="s">
        <v>120</v>
      </c>
      <c r="B240" s="30" t="s">
        <v>111</v>
      </c>
      <c r="C240" s="30" t="s">
        <v>148</v>
      </c>
      <c r="D240" s="30" t="s">
        <v>121</v>
      </c>
      <c r="E240" s="30" t="s">
        <v>0</v>
      </c>
      <c r="F240" s="13">
        <f t="shared" ref="F240:N240" si="178">F241</f>
        <v>342000</v>
      </c>
      <c r="G240" s="13">
        <f t="shared" si="178"/>
        <v>0</v>
      </c>
      <c r="H240" s="13">
        <f t="shared" si="178"/>
        <v>342000</v>
      </c>
      <c r="I240" s="13">
        <f t="shared" si="178"/>
        <v>342000</v>
      </c>
      <c r="J240" s="13">
        <f t="shared" si="178"/>
        <v>0</v>
      </c>
      <c r="K240" s="13">
        <f t="shared" si="178"/>
        <v>342000</v>
      </c>
      <c r="L240" s="13">
        <f t="shared" si="178"/>
        <v>342000</v>
      </c>
      <c r="M240" s="13">
        <f t="shared" si="178"/>
        <v>0</v>
      </c>
      <c r="N240" s="13">
        <f t="shared" si="178"/>
        <v>342000</v>
      </c>
    </row>
    <row r="241" spans="1:14" s="15" customFormat="1" x14ac:dyDescent="0.2">
      <c r="A241" s="16" t="s">
        <v>19</v>
      </c>
      <c r="B241" s="31" t="s">
        <v>111</v>
      </c>
      <c r="C241" s="31" t="s">
        <v>148</v>
      </c>
      <c r="D241" s="31" t="s">
        <v>121</v>
      </c>
      <c r="E241" s="31" t="s">
        <v>20</v>
      </c>
      <c r="F241" s="17">
        <v>342000</v>
      </c>
      <c r="G241" s="17">
        <v>0</v>
      </c>
      <c r="H241" s="17">
        <f>F241+G241</f>
        <v>342000</v>
      </c>
      <c r="I241" s="17">
        <v>342000</v>
      </c>
      <c r="J241" s="17">
        <v>0</v>
      </c>
      <c r="K241" s="17">
        <f>I241+J241</f>
        <v>342000</v>
      </c>
      <c r="L241" s="17">
        <v>342000</v>
      </c>
      <c r="M241" s="17">
        <v>0</v>
      </c>
      <c r="N241" s="17">
        <f>L241+M241</f>
        <v>342000</v>
      </c>
    </row>
    <row r="242" spans="1:14" s="15" customFormat="1" ht="27" x14ac:dyDescent="0.2">
      <c r="A242" s="29" t="s">
        <v>122</v>
      </c>
      <c r="B242" s="30" t="s">
        <v>111</v>
      </c>
      <c r="C242" s="30" t="s">
        <v>148</v>
      </c>
      <c r="D242" s="30" t="s">
        <v>123</v>
      </c>
      <c r="E242" s="30" t="s">
        <v>0</v>
      </c>
      <c r="F242" s="13">
        <f t="shared" ref="F242:N242" si="179">F243</f>
        <v>1530000</v>
      </c>
      <c r="G242" s="13">
        <f t="shared" si="179"/>
        <v>500000</v>
      </c>
      <c r="H242" s="13">
        <f t="shared" si="179"/>
        <v>2030000</v>
      </c>
      <c r="I242" s="13">
        <f t="shared" si="179"/>
        <v>1540000</v>
      </c>
      <c r="J242" s="13">
        <f t="shared" si="179"/>
        <v>0</v>
      </c>
      <c r="K242" s="13">
        <f t="shared" si="179"/>
        <v>1540000</v>
      </c>
      <c r="L242" s="13">
        <f t="shared" si="179"/>
        <v>1550000</v>
      </c>
      <c r="M242" s="13">
        <f t="shared" si="179"/>
        <v>0</v>
      </c>
      <c r="N242" s="13">
        <f t="shared" si="179"/>
        <v>1550000</v>
      </c>
    </row>
    <row r="243" spans="1:14" s="15" customFormat="1" ht="25.5" x14ac:dyDescent="0.2">
      <c r="A243" s="41" t="s">
        <v>238</v>
      </c>
      <c r="B243" s="31" t="s">
        <v>111</v>
      </c>
      <c r="C243" s="31" t="s">
        <v>148</v>
      </c>
      <c r="D243" s="31" t="s">
        <v>123</v>
      </c>
      <c r="E243" s="31" t="s">
        <v>124</v>
      </c>
      <c r="F243" s="17">
        <v>1530000</v>
      </c>
      <c r="G243" s="17">
        <v>500000</v>
      </c>
      <c r="H243" s="17">
        <f>F243+G243</f>
        <v>2030000</v>
      </c>
      <c r="I243" s="17">
        <v>1540000</v>
      </c>
      <c r="J243" s="17">
        <v>0</v>
      </c>
      <c r="K243" s="17">
        <f>I243+J243</f>
        <v>1540000</v>
      </c>
      <c r="L243" s="17">
        <v>1550000</v>
      </c>
      <c r="M243" s="17">
        <v>0</v>
      </c>
      <c r="N243" s="17">
        <f>L243+M243</f>
        <v>1550000</v>
      </c>
    </row>
    <row r="244" spans="1:14" s="15" customFormat="1" x14ac:dyDescent="0.2">
      <c r="A244" s="26" t="s">
        <v>115</v>
      </c>
      <c r="B244" s="27" t="s">
        <v>111</v>
      </c>
      <c r="C244" s="27" t="s">
        <v>148</v>
      </c>
      <c r="D244" s="27" t="s">
        <v>116</v>
      </c>
      <c r="E244" s="27" t="s">
        <v>0</v>
      </c>
      <c r="F244" s="12">
        <f t="shared" ref="F244:N244" si="180">F245+F248+F251</f>
        <v>5417704</v>
      </c>
      <c r="G244" s="12">
        <f t="shared" ref="G244:H244" si="181">G245+G248+G251</f>
        <v>0</v>
      </c>
      <c r="H244" s="12">
        <f t="shared" si="181"/>
        <v>5417704</v>
      </c>
      <c r="I244" s="12">
        <f t="shared" si="180"/>
        <v>5604526</v>
      </c>
      <c r="J244" s="12">
        <f t="shared" si="180"/>
        <v>0</v>
      </c>
      <c r="K244" s="12">
        <f t="shared" si="180"/>
        <v>5604526</v>
      </c>
      <c r="L244" s="12">
        <f t="shared" si="180"/>
        <v>5819122</v>
      </c>
      <c r="M244" s="12">
        <f t="shared" si="180"/>
        <v>0</v>
      </c>
      <c r="N244" s="12">
        <f t="shared" si="180"/>
        <v>5819122</v>
      </c>
    </row>
    <row r="245" spans="1:14" s="15" customFormat="1" ht="27" x14ac:dyDescent="0.2">
      <c r="A245" s="29" t="s">
        <v>125</v>
      </c>
      <c r="B245" s="30" t="s">
        <v>111</v>
      </c>
      <c r="C245" s="30" t="s">
        <v>148</v>
      </c>
      <c r="D245" s="30" t="s">
        <v>126</v>
      </c>
      <c r="E245" s="30" t="s">
        <v>0</v>
      </c>
      <c r="F245" s="13">
        <f t="shared" ref="F245:N245" si="182">F246+F247</f>
        <v>375000</v>
      </c>
      <c r="G245" s="13">
        <f t="shared" ref="G245:H245" si="183">G246+G247</f>
        <v>0</v>
      </c>
      <c r="H245" s="13">
        <f t="shared" si="183"/>
        <v>375000</v>
      </c>
      <c r="I245" s="13">
        <f t="shared" si="182"/>
        <v>375000</v>
      </c>
      <c r="J245" s="13">
        <f t="shared" si="182"/>
        <v>0</v>
      </c>
      <c r="K245" s="13">
        <f t="shared" si="182"/>
        <v>375000</v>
      </c>
      <c r="L245" s="13">
        <f t="shared" si="182"/>
        <v>375000</v>
      </c>
      <c r="M245" s="13">
        <f t="shared" si="182"/>
        <v>0</v>
      </c>
      <c r="N245" s="13">
        <f t="shared" si="182"/>
        <v>375000</v>
      </c>
    </row>
    <row r="246" spans="1:14" s="15" customFormat="1" x14ac:dyDescent="0.2">
      <c r="A246" s="16" t="s">
        <v>19</v>
      </c>
      <c r="B246" s="31" t="s">
        <v>111</v>
      </c>
      <c r="C246" s="31" t="s">
        <v>148</v>
      </c>
      <c r="D246" s="31" t="s">
        <v>126</v>
      </c>
      <c r="E246" s="31" t="s">
        <v>20</v>
      </c>
      <c r="F246" s="17">
        <v>375000</v>
      </c>
      <c r="G246" s="17">
        <v>0</v>
      </c>
      <c r="H246" s="17">
        <f>F246+G246</f>
        <v>375000</v>
      </c>
      <c r="I246" s="17">
        <v>375000</v>
      </c>
      <c r="J246" s="17">
        <v>0</v>
      </c>
      <c r="K246" s="17">
        <f>I246+J246</f>
        <v>375000</v>
      </c>
      <c r="L246" s="17">
        <v>375000</v>
      </c>
      <c r="M246" s="17">
        <v>0</v>
      </c>
      <c r="N246" s="17">
        <f>L246+M246</f>
        <v>375000</v>
      </c>
    </row>
    <row r="247" spans="1:14" s="15" customFormat="1" outlineLevel="1" x14ac:dyDescent="0.2">
      <c r="A247" s="16" t="s">
        <v>68</v>
      </c>
      <c r="B247" s="31" t="s">
        <v>111</v>
      </c>
      <c r="C247" s="31" t="s">
        <v>148</v>
      </c>
      <c r="D247" s="31" t="s">
        <v>126</v>
      </c>
      <c r="E247" s="31" t="s">
        <v>69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</row>
    <row r="248" spans="1:14" s="15" customFormat="1" ht="13.5" x14ac:dyDescent="0.2">
      <c r="A248" s="29" t="s">
        <v>127</v>
      </c>
      <c r="B248" s="30" t="s">
        <v>111</v>
      </c>
      <c r="C248" s="30" t="s">
        <v>148</v>
      </c>
      <c r="D248" s="30" t="s">
        <v>128</v>
      </c>
      <c r="E248" s="30" t="s">
        <v>0</v>
      </c>
      <c r="F248" s="13">
        <f t="shared" ref="F248:N248" si="184">F249+F250</f>
        <v>1246200</v>
      </c>
      <c r="G248" s="13">
        <f t="shared" ref="G248:H248" si="185">G249+G250</f>
        <v>0</v>
      </c>
      <c r="H248" s="13">
        <f t="shared" si="185"/>
        <v>1246200</v>
      </c>
      <c r="I248" s="13">
        <f t="shared" si="184"/>
        <v>1234200</v>
      </c>
      <c r="J248" s="13">
        <f t="shared" si="184"/>
        <v>0</v>
      </c>
      <c r="K248" s="13">
        <f t="shared" si="184"/>
        <v>1234200</v>
      </c>
      <c r="L248" s="13">
        <f t="shared" si="184"/>
        <v>1234200</v>
      </c>
      <c r="M248" s="13">
        <f t="shared" si="184"/>
        <v>0</v>
      </c>
      <c r="N248" s="13">
        <f t="shared" si="184"/>
        <v>1234200</v>
      </c>
    </row>
    <row r="249" spans="1:14" s="15" customFormat="1" x14ac:dyDescent="0.2">
      <c r="A249" s="16" t="s">
        <v>19</v>
      </c>
      <c r="B249" s="31" t="s">
        <v>111</v>
      </c>
      <c r="C249" s="31" t="s">
        <v>148</v>
      </c>
      <c r="D249" s="31" t="s">
        <v>128</v>
      </c>
      <c r="E249" s="31" t="s">
        <v>20</v>
      </c>
      <c r="F249" s="17">
        <f>19200+192000</f>
        <v>211200</v>
      </c>
      <c r="G249" s="17">
        <v>0</v>
      </c>
      <c r="H249" s="17">
        <f>F249+G249</f>
        <v>211200</v>
      </c>
      <c r="I249" s="17">
        <f>19200+180000</f>
        <v>199200</v>
      </c>
      <c r="J249" s="17">
        <v>0</v>
      </c>
      <c r="K249" s="17">
        <f t="shared" ref="K249:K250" si="186">I249+J249</f>
        <v>199200</v>
      </c>
      <c r="L249" s="17">
        <f>19200+180000</f>
        <v>199200</v>
      </c>
      <c r="M249" s="17">
        <v>0</v>
      </c>
      <c r="N249" s="17">
        <f>L249+M249</f>
        <v>199200</v>
      </c>
    </row>
    <row r="250" spans="1:14" s="15" customFormat="1" x14ac:dyDescent="0.2">
      <c r="A250" s="16" t="s">
        <v>68</v>
      </c>
      <c r="B250" s="31" t="s">
        <v>111</v>
      </c>
      <c r="C250" s="31" t="s">
        <v>148</v>
      </c>
      <c r="D250" s="31" t="s">
        <v>128</v>
      </c>
      <c r="E250" s="31" t="s">
        <v>69</v>
      </c>
      <c r="F250" s="17">
        <v>1035000</v>
      </c>
      <c r="G250" s="17">
        <v>0</v>
      </c>
      <c r="H250" s="17">
        <f>F250+G250</f>
        <v>1035000</v>
      </c>
      <c r="I250" s="17">
        <v>1035000</v>
      </c>
      <c r="J250" s="17">
        <v>0</v>
      </c>
      <c r="K250" s="17">
        <f t="shared" si="186"/>
        <v>1035000</v>
      </c>
      <c r="L250" s="17">
        <v>1035000</v>
      </c>
      <c r="M250" s="17">
        <v>0</v>
      </c>
      <c r="N250" s="17">
        <f>L250+M250</f>
        <v>1035000</v>
      </c>
    </row>
    <row r="251" spans="1:14" s="15" customFormat="1" ht="26.25" customHeight="1" x14ac:dyDescent="0.2">
      <c r="A251" s="29" t="s">
        <v>129</v>
      </c>
      <c r="B251" s="30" t="s">
        <v>111</v>
      </c>
      <c r="C251" s="30" t="s">
        <v>148</v>
      </c>
      <c r="D251" s="30" t="s">
        <v>130</v>
      </c>
      <c r="E251" s="30" t="s">
        <v>0</v>
      </c>
      <c r="F251" s="13">
        <f t="shared" ref="F251:N251" si="187">F252+F253</f>
        <v>3796504</v>
      </c>
      <c r="G251" s="13">
        <f t="shared" ref="G251:H251" si="188">G252+G253</f>
        <v>0</v>
      </c>
      <c r="H251" s="13">
        <f t="shared" si="188"/>
        <v>3796504</v>
      </c>
      <c r="I251" s="13">
        <f t="shared" si="187"/>
        <v>3995326</v>
      </c>
      <c r="J251" s="13">
        <f t="shared" si="187"/>
        <v>0</v>
      </c>
      <c r="K251" s="13">
        <f t="shared" si="187"/>
        <v>3995326</v>
      </c>
      <c r="L251" s="13">
        <f t="shared" si="187"/>
        <v>4209922</v>
      </c>
      <c r="M251" s="13">
        <f t="shared" si="187"/>
        <v>0</v>
      </c>
      <c r="N251" s="13">
        <f t="shared" si="187"/>
        <v>4209922</v>
      </c>
    </row>
    <row r="252" spans="1:14" s="15" customFormat="1" x14ac:dyDescent="0.2">
      <c r="A252" s="16" t="s">
        <v>19</v>
      </c>
      <c r="B252" s="31" t="s">
        <v>111</v>
      </c>
      <c r="C252" s="31" t="s">
        <v>148</v>
      </c>
      <c r="D252" s="31" t="s">
        <v>130</v>
      </c>
      <c r="E252" s="31" t="s">
        <v>20</v>
      </c>
      <c r="F252" s="17">
        <v>53902</v>
      </c>
      <c r="G252" s="17">
        <v>0</v>
      </c>
      <c r="H252" s="17">
        <f>F252+G252</f>
        <v>53902</v>
      </c>
      <c r="I252" s="17">
        <v>57724</v>
      </c>
      <c r="J252" s="17">
        <v>0</v>
      </c>
      <c r="K252" s="17">
        <f t="shared" ref="K252:K253" si="189">I252+J252</f>
        <v>57724</v>
      </c>
      <c r="L252" s="17">
        <v>62320</v>
      </c>
      <c r="M252" s="17">
        <v>0</v>
      </c>
      <c r="N252" s="17">
        <f>L252+M252</f>
        <v>62320</v>
      </c>
    </row>
    <row r="253" spans="1:14" s="15" customFormat="1" x14ac:dyDescent="0.2">
      <c r="A253" s="16" t="s">
        <v>68</v>
      </c>
      <c r="B253" s="31" t="s">
        <v>111</v>
      </c>
      <c r="C253" s="31" t="s">
        <v>148</v>
      </c>
      <c r="D253" s="31" t="s">
        <v>130</v>
      </c>
      <c r="E253" s="31" t="s">
        <v>69</v>
      </c>
      <c r="F253" s="17">
        <f>502602+2440000+800000</f>
        <v>3742602</v>
      </c>
      <c r="G253" s="17">
        <v>0</v>
      </c>
      <c r="H253" s="17">
        <f>F253+G253</f>
        <v>3742602</v>
      </c>
      <c r="I253" s="17">
        <f>502602+2635000+800000</f>
        <v>3937602</v>
      </c>
      <c r="J253" s="17">
        <v>0</v>
      </c>
      <c r="K253" s="17">
        <f t="shared" si="189"/>
        <v>3937602</v>
      </c>
      <c r="L253" s="17">
        <f>502602+2845000+800000</f>
        <v>4147602</v>
      </c>
      <c r="M253" s="17">
        <v>0</v>
      </c>
      <c r="N253" s="17">
        <f>L253+M253</f>
        <v>4147602</v>
      </c>
    </row>
    <row r="254" spans="1:14" s="15" customFormat="1" x14ac:dyDescent="0.2">
      <c r="A254" s="26" t="s">
        <v>216</v>
      </c>
      <c r="B254" s="27" t="s">
        <v>39</v>
      </c>
      <c r="C254" s="27" t="s">
        <v>0</v>
      </c>
      <c r="D254" s="27" t="s">
        <v>0</v>
      </c>
      <c r="E254" s="27" t="s">
        <v>0</v>
      </c>
      <c r="F254" s="20">
        <f t="shared" ref="F254:N255" si="190">F255</f>
        <v>39085401.289999999</v>
      </c>
      <c r="G254" s="20">
        <f t="shared" si="190"/>
        <v>0</v>
      </c>
      <c r="H254" s="20">
        <f t="shared" si="190"/>
        <v>39085401.289999999</v>
      </c>
      <c r="I254" s="20">
        <f t="shared" si="190"/>
        <v>42569072.93</v>
      </c>
      <c r="J254" s="20">
        <f t="shared" si="190"/>
        <v>0</v>
      </c>
      <c r="K254" s="20">
        <f t="shared" si="190"/>
        <v>42569072.93</v>
      </c>
      <c r="L254" s="20">
        <f t="shared" si="190"/>
        <v>41964148.359999999</v>
      </c>
      <c r="M254" s="20">
        <f t="shared" si="190"/>
        <v>0</v>
      </c>
      <c r="N254" s="20">
        <f t="shared" si="190"/>
        <v>41964148.359999999</v>
      </c>
    </row>
    <row r="255" spans="1:14" s="15" customFormat="1" x14ac:dyDescent="0.2">
      <c r="A255" s="26" t="s">
        <v>207</v>
      </c>
      <c r="B255" s="27" t="s">
        <v>39</v>
      </c>
      <c r="C255" s="27" t="s">
        <v>103</v>
      </c>
      <c r="D255" s="27" t="s">
        <v>0</v>
      </c>
      <c r="E255" s="27" t="s">
        <v>0</v>
      </c>
      <c r="F255" s="20">
        <f t="shared" si="190"/>
        <v>39085401.289999999</v>
      </c>
      <c r="G255" s="20">
        <f t="shared" si="190"/>
        <v>0</v>
      </c>
      <c r="H255" s="20">
        <f t="shared" si="190"/>
        <v>39085401.289999999</v>
      </c>
      <c r="I255" s="20">
        <f t="shared" si="190"/>
        <v>42569072.93</v>
      </c>
      <c r="J255" s="20">
        <f t="shared" si="190"/>
        <v>0</v>
      </c>
      <c r="K255" s="20">
        <f t="shared" si="190"/>
        <v>42569072.93</v>
      </c>
      <c r="L255" s="20">
        <f t="shared" si="190"/>
        <v>41964148.359999999</v>
      </c>
      <c r="M255" s="20">
        <f t="shared" si="190"/>
        <v>0</v>
      </c>
      <c r="N255" s="20">
        <f t="shared" si="190"/>
        <v>41964148.359999999</v>
      </c>
    </row>
    <row r="256" spans="1:14" s="15" customFormat="1" x14ac:dyDescent="0.2">
      <c r="A256" s="26" t="s">
        <v>201</v>
      </c>
      <c r="B256" s="27" t="s">
        <v>39</v>
      </c>
      <c r="C256" s="27" t="s">
        <v>103</v>
      </c>
      <c r="D256" s="27" t="s">
        <v>208</v>
      </c>
      <c r="E256" s="27" t="s">
        <v>0</v>
      </c>
      <c r="F256" s="20">
        <f t="shared" ref="F256:N257" si="191">F257</f>
        <v>39085401.289999999</v>
      </c>
      <c r="G256" s="20">
        <f t="shared" si="191"/>
        <v>0</v>
      </c>
      <c r="H256" s="20">
        <f t="shared" si="191"/>
        <v>39085401.289999999</v>
      </c>
      <c r="I256" s="20">
        <f t="shared" si="191"/>
        <v>42569072.93</v>
      </c>
      <c r="J256" s="20">
        <f t="shared" si="191"/>
        <v>0</v>
      </c>
      <c r="K256" s="20">
        <f t="shared" si="191"/>
        <v>42569072.93</v>
      </c>
      <c r="L256" s="20">
        <f t="shared" si="191"/>
        <v>41964148.359999999</v>
      </c>
      <c r="M256" s="20">
        <f t="shared" si="191"/>
        <v>0</v>
      </c>
      <c r="N256" s="20">
        <f t="shared" si="191"/>
        <v>41964148.359999999</v>
      </c>
    </row>
    <row r="257" spans="1:14" s="15" customFormat="1" ht="15" customHeight="1" x14ac:dyDescent="0.2">
      <c r="A257" s="29" t="s">
        <v>120</v>
      </c>
      <c r="B257" s="30" t="s">
        <v>39</v>
      </c>
      <c r="C257" s="30" t="s">
        <v>103</v>
      </c>
      <c r="D257" s="30" t="s">
        <v>209</v>
      </c>
      <c r="E257" s="30" t="s">
        <v>0</v>
      </c>
      <c r="F257" s="23">
        <f t="shared" si="191"/>
        <v>39085401.289999999</v>
      </c>
      <c r="G257" s="23">
        <f t="shared" si="191"/>
        <v>0</v>
      </c>
      <c r="H257" s="23">
        <f t="shared" si="191"/>
        <v>39085401.289999999</v>
      </c>
      <c r="I257" s="23">
        <f t="shared" si="191"/>
        <v>42569072.93</v>
      </c>
      <c r="J257" s="23">
        <f t="shared" si="191"/>
        <v>0</v>
      </c>
      <c r="K257" s="23">
        <f t="shared" si="191"/>
        <v>42569072.93</v>
      </c>
      <c r="L257" s="23">
        <f t="shared" si="191"/>
        <v>41964148.359999999</v>
      </c>
      <c r="M257" s="23">
        <f t="shared" si="191"/>
        <v>0</v>
      </c>
      <c r="N257" s="23">
        <f t="shared" si="191"/>
        <v>41964148.359999999</v>
      </c>
    </row>
    <row r="258" spans="1:14" s="15" customFormat="1" ht="25.5" x14ac:dyDescent="0.2">
      <c r="A258" s="41" t="s">
        <v>238</v>
      </c>
      <c r="B258" s="42" t="s">
        <v>39</v>
      </c>
      <c r="C258" s="42" t="s">
        <v>103</v>
      </c>
      <c r="D258" s="42" t="s">
        <v>209</v>
      </c>
      <c r="E258" s="42">
        <v>600</v>
      </c>
      <c r="F258" s="18">
        <v>39085401.289999999</v>
      </c>
      <c r="G258" s="18">
        <v>0</v>
      </c>
      <c r="H258" s="17">
        <f>F258+G258</f>
        <v>39085401.289999999</v>
      </c>
      <c r="I258" s="18">
        <v>42569072.93</v>
      </c>
      <c r="J258" s="18">
        <v>0</v>
      </c>
      <c r="K258" s="17">
        <f>I258+J258</f>
        <v>42569072.93</v>
      </c>
      <c r="L258" s="18">
        <v>41964148.359999999</v>
      </c>
      <c r="M258" s="18">
        <v>0</v>
      </c>
      <c r="N258" s="17">
        <f>L258+M258</f>
        <v>41964148.359999999</v>
      </c>
    </row>
    <row r="259" spans="1:14" s="15" customFormat="1" x14ac:dyDescent="0.2">
      <c r="A259" s="26" t="s">
        <v>217</v>
      </c>
      <c r="B259" s="27" t="s">
        <v>89</v>
      </c>
      <c r="C259" s="27" t="s">
        <v>0</v>
      </c>
      <c r="D259" s="27" t="s">
        <v>0</v>
      </c>
      <c r="E259" s="27" t="s">
        <v>0</v>
      </c>
      <c r="F259" s="12">
        <f t="shared" ref="F259:N263" si="192">F260</f>
        <v>3753356</v>
      </c>
      <c r="G259" s="12">
        <f t="shared" si="192"/>
        <v>0</v>
      </c>
      <c r="H259" s="12">
        <f t="shared" si="192"/>
        <v>3753356</v>
      </c>
      <c r="I259" s="12">
        <f t="shared" ref="I259:L263" si="193">I260</f>
        <v>3644235</v>
      </c>
      <c r="J259" s="12">
        <f t="shared" si="192"/>
        <v>0</v>
      </c>
      <c r="K259" s="12">
        <f t="shared" si="192"/>
        <v>3644235</v>
      </c>
      <c r="L259" s="12">
        <f t="shared" si="193"/>
        <v>3753562</v>
      </c>
      <c r="M259" s="12">
        <f t="shared" si="192"/>
        <v>0</v>
      </c>
      <c r="N259" s="12">
        <f t="shared" si="192"/>
        <v>3753562</v>
      </c>
    </row>
    <row r="260" spans="1:14" s="15" customFormat="1" x14ac:dyDescent="0.2">
      <c r="A260" s="26" t="s">
        <v>136</v>
      </c>
      <c r="B260" s="27" t="s">
        <v>89</v>
      </c>
      <c r="C260" s="27" t="s">
        <v>28</v>
      </c>
      <c r="D260" s="27" t="s">
        <v>0</v>
      </c>
      <c r="E260" s="27" t="s">
        <v>0</v>
      </c>
      <c r="F260" s="12">
        <f t="shared" si="192"/>
        <v>3753356</v>
      </c>
      <c r="G260" s="12">
        <f t="shared" si="192"/>
        <v>0</v>
      </c>
      <c r="H260" s="12">
        <f t="shared" si="192"/>
        <v>3753356</v>
      </c>
      <c r="I260" s="12">
        <f t="shared" si="193"/>
        <v>3644235</v>
      </c>
      <c r="J260" s="12">
        <f t="shared" si="192"/>
        <v>0</v>
      </c>
      <c r="K260" s="12">
        <f t="shared" si="192"/>
        <v>3644235</v>
      </c>
      <c r="L260" s="12">
        <f t="shared" si="193"/>
        <v>3753562</v>
      </c>
      <c r="M260" s="12">
        <f t="shared" si="192"/>
        <v>0</v>
      </c>
      <c r="N260" s="12">
        <f t="shared" si="192"/>
        <v>3753562</v>
      </c>
    </row>
    <row r="261" spans="1:14" s="15" customFormat="1" x14ac:dyDescent="0.2">
      <c r="A261" s="26" t="s">
        <v>137</v>
      </c>
      <c r="B261" s="27" t="s">
        <v>89</v>
      </c>
      <c r="C261" s="27" t="s">
        <v>28</v>
      </c>
      <c r="D261" s="27" t="s">
        <v>138</v>
      </c>
      <c r="E261" s="27" t="s">
        <v>0</v>
      </c>
      <c r="F261" s="12">
        <f t="shared" si="192"/>
        <v>3753356</v>
      </c>
      <c r="G261" s="12">
        <f t="shared" si="192"/>
        <v>0</v>
      </c>
      <c r="H261" s="12">
        <f t="shared" si="192"/>
        <v>3753356</v>
      </c>
      <c r="I261" s="12">
        <f t="shared" si="193"/>
        <v>3644235</v>
      </c>
      <c r="J261" s="12">
        <f t="shared" si="192"/>
        <v>0</v>
      </c>
      <c r="K261" s="12">
        <f t="shared" si="192"/>
        <v>3644235</v>
      </c>
      <c r="L261" s="12">
        <f t="shared" si="193"/>
        <v>3753562</v>
      </c>
      <c r="M261" s="12">
        <f t="shared" si="192"/>
        <v>0</v>
      </c>
      <c r="N261" s="12">
        <f t="shared" si="192"/>
        <v>3753562</v>
      </c>
    </row>
    <row r="262" spans="1:14" s="15" customFormat="1" ht="15" customHeight="1" x14ac:dyDescent="0.2">
      <c r="A262" s="26" t="s">
        <v>139</v>
      </c>
      <c r="B262" s="27" t="s">
        <v>89</v>
      </c>
      <c r="C262" s="27" t="s">
        <v>28</v>
      </c>
      <c r="D262" s="27" t="s">
        <v>140</v>
      </c>
      <c r="E262" s="27" t="s">
        <v>0</v>
      </c>
      <c r="F262" s="12">
        <f t="shared" si="192"/>
        <v>3753356</v>
      </c>
      <c r="G262" s="12">
        <f t="shared" si="192"/>
        <v>0</v>
      </c>
      <c r="H262" s="12">
        <f t="shared" si="192"/>
        <v>3753356</v>
      </c>
      <c r="I262" s="12">
        <f t="shared" si="193"/>
        <v>3644235</v>
      </c>
      <c r="J262" s="12">
        <f t="shared" si="192"/>
        <v>0</v>
      </c>
      <c r="K262" s="12">
        <f t="shared" si="192"/>
        <v>3644235</v>
      </c>
      <c r="L262" s="12">
        <f t="shared" si="193"/>
        <v>3753562</v>
      </c>
      <c r="M262" s="12">
        <f t="shared" si="192"/>
        <v>0</v>
      </c>
      <c r="N262" s="12">
        <f t="shared" si="192"/>
        <v>3753562</v>
      </c>
    </row>
    <row r="263" spans="1:14" s="15" customFormat="1" ht="13.5" x14ac:dyDescent="0.2">
      <c r="A263" s="29" t="s">
        <v>141</v>
      </c>
      <c r="B263" s="30" t="s">
        <v>89</v>
      </c>
      <c r="C263" s="30" t="s">
        <v>28</v>
      </c>
      <c r="D263" s="30" t="s">
        <v>142</v>
      </c>
      <c r="E263" s="30" t="s">
        <v>0</v>
      </c>
      <c r="F263" s="13">
        <f t="shared" si="192"/>
        <v>3753356</v>
      </c>
      <c r="G263" s="13">
        <f t="shared" si="192"/>
        <v>0</v>
      </c>
      <c r="H263" s="13">
        <f t="shared" si="192"/>
        <v>3753356</v>
      </c>
      <c r="I263" s="13">
        <f t="shared" si="193"/>
        <v>3644235</v>
      </c>
      <c r="J263" s="13">
        <f t="shared" si="192"/>
        <v>0</v>
      </c>
      <c r="K263" s="13">
        <f t="shared" si="192"/>
        <v>3644235</v>
      </c>
      <c r="L263" s="13">
        <f t="shared" si="193"/>
        <v>3753562</v>
      </c>
      <c r="M263" s="13">
        <f t="shared" si="192"/>
        <v>0</v>
      </c>
      <c r="N263" s="13">
        <f t="shared" si="192"/>
        <v>3753562</v>
      </c>
    </row>
    <row r="264" spans="1:14" s="15" customFormat="1" x14ac:dyDescent="0.2">
      <c r="A264" s="16" t="s">
        <v>19</v>
      </c>
      <c r="B264" s="31" t="s">
        <v>89</v>
      </c>
      <c r="C264" s="31" t="s">
        <v>28</v>
      </c>
      <c r="D264" s="31" t="s">
        <v>142</v>
      </c>
      <c r="E264" s="31" t="s">
        <v>20</v>
      </c>
      <c r="F264" s="17">
        <f>425568+3327788</f>
        <v>3753356</v>
      </c>
      <c r="G264" s="17">
        <v>0</v>
      </c>
      <c r="H264" s="17">
        <f>F264+G264</f>
        <v>3753356</v>
      </c>
      <c r="I264" s="17">
        <f>216665+3427570</f>
        <v>3644235</v>
      </c>
      <c r="J264" s="17">
        <v>0</v>
      </c>
      <c r="K264" s="17">
        <f>I264+J264</f>
        <v>3644235</v>
      </c>
      <c r="L264" s="17">
        <f>223165+3530397</f>
        <v>3753562</v>
      </c>
      <c r="M264" s="17">
        <v>0</v>
      </c>
      <c r="N264" s="17">
        <f>L264+M264</f>
        <v>3753562</v>
      </c>
    </row>
    <row r="265" spans="1:14" s="15" customFormat="1" ht="12.75" customHeight="1" x14ac:dyDescent="0.2">
      <c r="A265" s="26" t="s">
        <v>218</v>
      </c>
      <c r="B265" s="27" t="s">
        <v>73</v>
      </c>
      <c r="C265" s="27" t="s">
        <v>0</v>
      </c>
      <c r="D265" s="27" t="s">
        <v>0</v>
      </c>
      <c r="E265" s="27" t="s">
        <v>0</v>
      </c>
      <c r="F265" s="12">
        <f t="shared" ref="F265:N269" si="194">F266</f>
        <v>987439.46</v>
      </c>
      <c r="G265" s="12">
        <f t="shared" si="194"/>
        <v>0</v>
      </c>
      <c r="H265" s="12">
        <f t="shared" si="194"/>
        <v>987439.46</v>
      </c>
      <c r="I265" s="12">
        <f t="shared" ref="I265:L269" si="195">I266</f>
        <v>987439.46</v>
      </c>
      <c r="J265" s="12">
        <f t="shared" si="194"/>
        <v>0</v>
      </c>
      <c r="K265" s="12">
        <f t="shared" si="194"/>
        <v>987439.46</v>
      </c>
      <c r="L265" s="12">
        <f t="shared" si="195"/>
        <v>987439.46</v>
      </c>
      <c r="M265" s="12">
        <f t="shared" si="194"/>
        <v>0</v>
      </c>
      <c r="N265" s="12">
        <f t="shared" si="194"/>
        <v>987439.46</v>
      </c>
    </row>
    <row r="266" spans="1:14" s="15" customFormat="1" x14ac:dyDescent="0.2">
      <c r="A266" s="26" t="s">
        <v>143</v>
      </c>
      <c r="B266" s="27" t="s">
        <v>73</v>
      </c>
      <c r="C266" s="27" t="s">
        <v>10</v>
      </c>
      <c r="D266" s="27" t="s">
        <v>0</v>
      </c>
      <c r="E266" s="27" t="s">
        <v>0</v>
      </c>
      <c r="F266" s="12">
        <f t="shared" si="194"/>
        <v>987439.46</v>
      </c>
      <c r="G266" s="12">
        <f t="shared" si="194"/>
        <v>0</v>
      </c>
      <c r="H266" s="12">
        <f t="shared" si="194"/>
        <v>987439.46</v>
      </c>
      <c r="I266" s="12">
        <f t="shared" si="195"/>
        <v>987439.46</v>
      </c>
      <c r="J266" s="12">
        <f t="shared" si="194"/>
        <v>0</v>
      </c>
      <c r="K266" s="12">
        <f t="shared" si="194"/>
        <v>987439.46</v>
      </c>
      <c r="L266" s="12">
        <f t="shared" si="195"/>
        <v>987439.46</v>
      </c>
      <c r="M266" s="12">
        <f t="shared" si="194"/>
        <v>0</v>
      </c>
      <c r="N266" s="12">
        <f t="shared" si="194"/>
        <v>987439.46</v>
      </c>
    </row>
    <row r="267" spans="1:14" s="15" customFormat="1" ht="14.45" customHeight="1" x14ac:dyDescent="0.2">
      <c r="A267" s="26" t="s">
        <v>11</v>
      </c>
      <c r="B267" s="27" t="s">
        <v>73</v>
      </c>
      <c r="C267" s="27" t="s">
        <v>10</v>
      </c>
      <c r="D267" s="27" t="s">
        <v>12</v>
      </c>
      <c r="E267" s="27" t="s">
        <v>0</v>
      </c>
      <c r="F267" s="12">
        <f t="shared" si="194"/>
        <v>987439.46</v>
      </c>
      <c r="G267" s="12">
        <f t="shared" si="194"/>
        <v>0</v>
      </c>
      <c r="H267" s="12">
        <f t="shared" si="194"/>
        <v>987439.46</v>
      </c>
      <c r="I267" s="12">
        <f t="shared" si="195"/>
        <v>987439.46</v>
      </c>
      <c r="J267" s="12">
        <f t="shared" si="194"/>
        <v>0</v>
      </c>
      <c r="K267" s="12">
        <f t="shared" si="194"/>
        <v>987439.46</v>
      </c>
      <c r="L267" s="12">
        <f t="shared" si="195"/>
        <v>987439.46</v>
      </c>
      <c r="M267" s="12">
        <f t="shared" si="194"/>
        <v>0</v>
      </c>
      <c r="N267" s="12">
        <f t="shared" si="194"/>
        <v>987439.46</v>
      </c>
    </row>
    <row r="268" spans="1:14" s="15" customFormat="1" x14ac:dyDescent="0.2">
      <c r="A268" s="26" t="s">
        <v>82</v>
      </c>
      <c r="B268" s="27" t="s">
        <v>73</v>
      </c>
      <c r="C268" s="27" t="s">
        <v>10</v>
      </c>
      <c r="D268" s="27" t="s">
        <v>144</v>
      </c>
      <c r="E268" s="27" t="s">
        <v>0</v>
      </c>
      <c r="F268" s="12">
        <f t="shared" si="194"/>
        <v>987439.46</v>
      </c>
      <c r="G268" s="12">
        <f t="shared" si="194"/>
        <v>0</v>
      </c>
      <c r="H268" s="12">
        <f t="shared" si="194"/>
        <v>987439.46</v>
      </c>
      <c r="I268" s="12">
        <f t="shared" si="195"/>
        <v>987439.46</v>
      </c>
      <c r="J268" s="12">
        <f t="shared" si="194"/>
        <v>0</v>
      </c>
      <c r="K268" s="12">
        <f t="shared" si="194"/>
        <v>987439.46</v>
      </c>
      <c r="L268" s="12">
        <f t="shared" si="195"/>
        <v>987439.46</v>
      </c>
      <c r="M268" s="12">
        <f t="shared" si="194"/>
        <v>0</v>
      </c>
      <c r="N268" s="12">
        <f t="shared" si="194"/>
        <v>987439.46</v>
      </c>
    </row>
    <row r="269" spans="1:14" s="15" customFormat="1" ht="40.5" customHeight="1" x14ac:dyDescent="0.2">
      <c r="A269" s="29" t="s">
        <v>145</v>
      </c>
      <c r="B269" s="30" t="s">
        <v>73</v>
      </c>
      <c r="C269" s="30" t="s">
        <v>10</v>
      </c>
      <c r="D269" s="30" t="s">
        <v>146</v>
      </c>
      <c r="E269" s="30" t="s">
        <v>0</v>
      </c>
      <c r="F269" s="13">
        <f t="shared" si="194"/>
        <v>987439.46</v>
      </c>
      <c r="G269" s="13">
        <f t="shared" si="194"/>
        <v>0</v>
      </c>
      <c r="H269" s="13">
        <f t="shared" si="194"/>
        <v>987439.46</v>
      </c>
      <c r="I269" s="13">
        <f t="shared" si="195"/>
        <v>987439.46</v>
      </c>
      <c r="J269" s="13">
        <f t="shared" si="194"/>
        <v>0</v>
      </c>
      <c r="K269" s="13">
        <f t="shared" si="194"/>
        <v>987439.46</v>
      </c>
      <c r="L269" s="13">
        <f t="shared" si="195"/>
        <v>987439.46</v>
      </c>
      <c r="M269" s="13">
        <f t="shared" si="194"/>
        <v>0</v>
      </c>
      <c r="N269" s="13">
        <f t="shared" si="194"/>
        <v>987439.46</v>
      </c>
    </row>
    <row r="270" spans="1:14" s="15" customFormat="1" ht="15.75" customHeight="1" x14ac:dyDescent="0.2">
      <c r="A270" s="16" t="s">
        <v>82</v>
      </c>
      <c r="B270" s="31" t="s">
        <v>73</v>
      </c>
      <c r="C270" s="31" t="s">
        <v>10</v>
      </c>
      <c r="D270" s="31" t="s">
        <v>146</v>
      </c>
      <c r="E270" s="31" t="s">
        <v>83</v>
      </c>
      <c r="F270" s="17">
        <f>987439+0.46</f>
        <v>987439.46</v>
      </c>
      <c r="G270" s="17">
        <v>0</v>
      </c>
      <c r="H270" s="17">
        <f>F270+G270</f>
        <v>987439.46</v>
      </c>
      <c r="I270" s="17">
        <f t="shared" ref="I270:L270" si="196">987439+0.46</f>
        <v>987439.46</v>
      </c>
      <c r="J270" s="17">
        <v>0</v>
      </c>
      <c r="K270" s="17">
        <f>I270+J270</f>
        <v>987439.46</v>
      </c>
      <c r="L270" s="17">
        <f t="shared" si="196"/>
        <v>987439.46</v>
      </c>
      <c r="M270" s="17">
        <v>0</v>
      </c>
      <c r="N270" s="17">
        <f>L270+M270</f>
        <v>987439.46</v>
      </c>
    </row>
    <row r="271" spans="1:14" s="2" customFormat="1" x14ac:dyDescent="0.2"/>
    <row r="272" spans="1:14" hidden="1" outlineLevel="1" x14ac:dyDescent="0.2">
      <c r="E272" t="s">
        <v>258</v>
      </c>
      <c r="F272" s="24">
        <f t="shared" ref="F272:N272" si="197">F22+F49+F76+F80+F103+F114+F118+F126+F130+F139+F162+F176+F202+F211+F216+F221+F226+F239+F256+F261</f>
        <v>779118791.26999986</v>
      </c>
      <c r="G272" s="24">
        <f t="shared" si="197"/>
        <v>95091450.389999986</v>
      </c>
      <c r="H272" s="24">
        <f t="shared" si="197"/>
        <v>874210241.65999985</v>
      </c>
      <c r="I272" s="24">
        <f t="shared" si="197"/>
        <v>350040569.28000003</v>
      </c>
      <c r="J272" s="24">
        <f t="shared" si="197"/>
        <v>1246025</v>
      </c>
      <c r="K272" s="24">
        <f t="shared" si="197"/>
        <v>351286594.28000003</v>
      </c>
      <c r="L272" s="24">
        <f t="shared" si="197"/>
        <v>346568787.47000003</v>
      </c>
      <c r="M272" s="24">
        <f t="shared" si="197"/>
        <v>1269878</v>
      </c>
      <c r="N272" s="24">
        <f t="shared" si="197"/>
        <v>347838665.47000003</v>
      </c>
    </row>
    <row r="273" spans="4:14" hidden="1" outlineLevel="1" x14ac:dyDescent="0.2">
      <c r="E273" t="s">
        <v>259</v>
      </c>
      <c r="F273" s="24">
        <f t="shared" ref="F273:N273" si="198">F267+F108+F89++F63+F42+F35+F27+F13+F8</f>
        <v>200524713.76000002</v>
      </c>
      <c r="G273" s="24">
        <f t="shared" si="198"/>
        <v>-906388.37</v>
      </c>
      <c r="H273" s="24">
        <f t="shared" si="198"/>
        <v>199618325.39000002</v>
      </c>
      <c r="I273" s="24">
        <f t="shared" si="198"/>
        <v>217827123.53000003</v>
      </c>
      <c r="J273" s="24">
        <f t="shared" si="198"/>
        <v>-1246025</v>
      </c>
      <c r="K273" s="24">
        <f t="shared" si="198"/>
        <v>216581098.53000003</v>
      </c>
      <c r="L273" s="24">
        <f t="shared" si="198"/>
        <v>238635616.16</v>
      </c>
      <c r="M273" s="24">
        <f t="shared" si="198"/>
        <v>-1269878</v>
      </c>
      <c r="N273" s="24">
        <f t="shared" si="198"/>
        <v>237365738.16</v>
      </c>
    </row>
    <row r="274" spans="4:14" hidden="1" outlineLevel="1" x14ac:dyDescent="0.2">
      <c r="E274" s="25" t="s">
        <v>260</v>
      </c>
      <c r="F274" s="24">
        <f>F272+F273</f>
        <v>979643505.02999985</v>
      </c>
      <c r="G274" s="24">
        <f t="shared" ref="G274:N274" si="199">G272+G273</f>
        <v>94185062.019999981</v>
      </c>
      <c r="H274" s="24">
        <f t="shared" si="199"/>
        <v>1073828567.05</v>
      </c>
      <c r="I274" s="24">
        <f t="shared" si="199"/>
        <v>567867692.81000006</v>
      </c>
      <c r="J274" s="24">
        <f t="shared" si="199"/>
        <v>0</v>
      </c>
      <c r="K274" s="24">
        <f t="shared" si="199"/>
        <v>567867692.81000006</v>
      </c>
      <c r="L274" s="24">
        <f t="shared" si="199"/>
        <v>585204403.63</v>
      </c>
      <c r="M274" s="24">
        <f t="shared" si="199"/>
        <v>0</v>
      </c>
      <c r="N274" s="24">
        <f t="shared" si="199"/>
        <v>585204403.63</v>
      </c>
    </row>
    <row r="275" spans="4:14" hidden="1" outlineLevel="1" x14ac:dyDescent="0.2">
      <c r="D275" s="67" t="s">
        <v>261</v>
      </c>
      <c r="E275" s="67"/>
      <c r="F275" s="24">
        <f t="shared" ref="F275:N275" si="200">F5-F274</f>
        <v>0</v>
      </c>
      <c r="G275" s="24">
        <f t="shared" si="200"/>
        <v>0</v>
      </c>
      <c r="H275" s="24">
        <f t="shared" si="200"/>
        <v>0</v>
      </c>
      <c r="I275" s="24">
        <f t="shared" si="200"/>
        <v>0</v>
      </c>
      <c r="J275" s="24">
        <f t="shared" si="200"/>
        <v>0</v>
      </c>
      <c r="K275" s="24">
        <f t="shared" si="200"/>
        <v>0</v>
      </c>
      <c r="L275" s="24">
        <f t="shared" si="200"/>
        <v>0</v>
      </c>
      <c r="M275" s="24">
        <f t="shared" si="200"/>
        <v>0</v>
      </c>
      <c r="N275" s="24">
        <f t="shared" si="200"/>
        <v>0</v>
      </c>
    </row>
    <row r="276" spans="4:14" collapsed="1" x14ac:dyDescent="0.2"/>
  </sheetData>
  <mergeCells count="4">
    <mergeCell ref="D275:E275"/>
    <mergeCell ref="A1:N1"/>
    <mergeCell ref="A3:N3"/>
    <mergeCell ref="A2:N2"/>
  </mergeCells>
  <pageMargins left="0.59055118110236227" right="0" top="0.39370078740157483" bottom="0.39370078740157483" header="0.31496062992125984" footer="0.31496062992125984"/>
  <pageSetup paperSize="9" scale="7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разделам</vt:lpstr>
      <vt:lpstr>'По разделам'!Область_печати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Илья Сергеевич Уткин</cp:lastModifiedBy>
  <cp:lastPrinted>2021-02-15T05:32:12Z</cp:lastPrinted>
  <dcterms:created xsi:type="dcterms:W3CDTF">2006-09-16T00:00:00Z</dcterms:created>
  <dcterms:modified xsi:type="dcterms:W3CDTF">2021-03-10T02:12:17Z</dcterms:modified>
</cp:coreProperties>
</file>