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A2463DDF-B59F-4F63-A2F6-7CDB32E323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Новый" sheetId="3" r:id="rId1"/>
  </sheets>
  <externalReferences>
    <externalReference r:id="rId2"/>
  </externalReferences>
  <definedNames>
    <definedName name="ULUS" localSheetId="0">'[1]Титульный лист'!$I$107</definedName>
  </definedNames>
  <calcPr calcId="191029"/>
</workbook>
</file>

<file path=xl/calcChain.xml><?xml version="1.0" encoding="utf-8"?>
<calcChain xmlns="http://schemas.openxmlformats.org/spreadsheetml/2006/main">
  <c r="R17" i="3" l="1"/>
  <c r="R23" i="3"/>
  <c r="R24" i="3"/>
  <c r="R25" i="3"/>
  <c r="R29" i="3"/>
  <c r="R30" i="3"/>
  <c r="R32" i="3"/>
  <c r="R33" i="3"/>
  <c r="R34" i="3"/>
  <c r="R35" i="3"/>
  <c r="R36" i="3"/>
  <c r="R37" i="3"/>
  <c r="R38" i="3"/>
  <c r="R39" i="3"/>
  <c r="R40" i="3"/>
  <c r="R41" i="3"/>
  <c r="R42" i="3"/>
  <c r="R49" i="3"/>
  <c r="R52" i="3"/>
  <c r="R53" i="3"/>
  <c r="R54" i="3"/>
  <c r="R55" i="3"/>
  <c r="R58" i="3"/>
  <c r="R61" i="3"/>
  <c r="R9" i="3"/>
  <c r="P17" i="3"/>
  <c r="P23" i="3"/>
  <c r="P24" i="3"/>
  <c r="P25" i="3"/>
  <c r="P29" i="3"/>
  <c r="P30" i="3"/>
  <c r="P32" i="3"/>
  <c r="P33" i="3"/>
  <c r="P34" i="3"/>
  <c r="P35" i="3"/>
  <c r="P36" i="3"/>
  <c r="P37" i="3"/>
  <c r="P38" i="3"/>
  <c r="P39" i="3"/>
  <c r="P40" i="3"/>
  <c r="P41" i="3"/>
  <c r="P42" i="3"/>
  <c r="P49" i="3"/>
  <c r="P52" i="3"/>
  <c r="P53" i="3"/>
  <c r="P54" i="3"/>
  <c r="P55" i="3"/>
  <c r="P58" i="3"/>
  <c r="P59" i="3"/>
  <c r="P61" i="3"/>
  <c r="P9" i="3"/>
  <c r="N17" i="3"/>
  <c r="N23" i="3"/>
  <c r="N24" i="3"/>
  <c r="N25" i="3"/>
  <c r="N29" i="3"/>
  <c r="N30" i="3"/>
  <c r="N32" i="3"/>
  <c r="N33" i="3"/>
  <c r="N34" i="3"/>
  <c r="N35" i="3"/>
  <c r="N36" i="3"/>
  <c r="N37" i="3"/>
  <c r="N38" i="3"/>
  <c r="N39" i="3"/>
  <c r="N40" i="3"/>
  <c r="N41" i="3"/>
  <c r="N42" i="3"/>
  <c r="N49" i="3"/>
  <c r="N52" i="3"/>
  <c r="N53" i="3"/>
  <c r="N54" i="3"/>
  <c r="N55" i="3"/>
  <c r="N58" i="3"/>
  <c r="N59" i="3"/>
  <c r="N61" i="3"/>
  <c r="N9" i="3"/>
  <c r="T17" i="3" l="1"/>
  <c r="T21" i="3"/>
  <c r="T23" i="3"/>
  <c r="T24" i="3"/>
  <c r="T25" i="3"/>
  <c r="T29" i="3"/>
  <c r="T30" i="3"/>
  <c r="T32" i="3"/>
  <c r="T33" i="3"/>
  <c r="T34" i="3"/>
  <c r="T35" i="3"/>
  <c r="T36" i="3"/>
  <c r="T37" i="3"/>
  <c r="T38" i="3"/>
  <c r="T39" i="3"/>
  <c r="T40" i="3"/>
  <c r="T41" i="3"/>
  <c r="T42" i="3"/>
  <c r="T9" i="3"/>
  <c r="S21" i="3"/>
  <c r="K12" i="3" l="1"/>
  <c r="K13" i="3" s="1"/>
  <c r="Q62" i="3" l="1"/>
  <c r="O62" i="3"/>
  <c r="M62" i="3"/>
  <c r="N62" i="3" s="1"/>
  <c r="R62" i="3" l="1"/>
  <c r="P62" i="3"/>
  <c r="J50" i="3"/>
  <c r="J44" i="3"/>
  <c r="K44" i="3"/>
  <c r="K50" i="3"/>
  <c r="L50" i="3" s="1"/>
  <c r="Q31" i="3"/>
  <c r="L31" i="3"/>
  <c r="O31" i="3"/>
  <c r="M31" i="3"/>
  <c r="O14" i="3"/>
  <c r="M14" i="3"/>
  <c r="N14" i="3" s="1"/>
  <c r="L12" i="3"/>
  <c r="L13" i="3" s="1"/>
  <c r="L11" i="3"/>
  <c r="K11" i="3"/>
  <c r="L16" i="3"/>
  <c r="L18" i="3" s="1"/>
  <c r="L28" i="3"/>
  <c r="Q28" i="3"/>
  <c r="O28" i="3"/>
  <c r="M28" i="3"/>
  <c r="L19" i="3"/>
  <c r="M19" i="3" s="1"/>
  <c r="M16" i="3"/>
  <c r="K16" i="3"/>
  <c r="Q16" i="3"/>
  <c r="O16" i="3"/>
  <c r="Q11" i="3"/>
  <c r="O11" i="3"/>
  <c r="M11" i="3"/>
  <c r="N31" i="3" l="1"/>
  <c r="R11" i="3"/>
  <c r="N16" i="3"/>
  <c r="R28" i="3"/>
  <c r="P16" i="3"/>
  <c r="O19" i="3"/>
  <c r="N19" i="3"/>
  <c r="P31" i="3"/>
  <c r="N11" i="3"/>
  <c r="R16" i="3"/>
  <c r="N28" i="3"/>
  <c r="P11" i="3"/>
  <c r="P28" i="3"/>
  <c r="P14" i="3"/>
  <c r="R31" i="3"/>
  <c r="K45" i="3"/>
  <c r="T16" i="3"/>
  <c r="M50" i="3"/>
  <c r="N50" i="3" s="1"/>
  <c r="L51" i="3"/>
  <c r="T11" i="3"/>
  <c r="T28" i="3"/>
  <c r="T31" i="3"/>
  <c r="L44" i="3"/>
  <c r="M44" i="3" s="1"/>
  <c r="N44" i="3" s="1"/>
  <c r="O12" i="3"/>
  <c r="M12" i="3"/>
  <c r="N12" i="3" s="1"/>
  <c r="M27" i="3"/>
  <c r="K26" i="3"/>
  <c r="M26" i="3" s="1"/>
  <c r="P12" i="3" l="1"/>
  <c r="O26" i="3"/>
  <c r="N26" i="3"/>
  <c r="O27" i="3"/>
  <c r="N27" i="3"/>
  <c r="Q19" i="3"/>
  <c r="P19" i="3"/>
  <c r="O50" i="3"/>
  <c r="P50" i="3" s="1"/>
  <c r="M51" i="3"/>
  <c r="N51" i="3" s="1"/>
  <c r="L45" i="3"/>
  <c r="Q14" i="3"/>
  <c r="R14" i="3" s="1"/>
  <c r="Q27" i="3" l="1"/>
  <c r="P27" i="3"/>
  <c r="T19" i="3"/>
  <c r="R19" i="3"/>
  <c r="Q26" i="3"/>
  <c r="P26" i="3"/>
  <c r="Q12" i="3"/>
  <c r="T14" i="3"/>
  <c r="Q50" i="3"/>
  <c r="O51" i="3"/>
  <c r="P51" i="3" s="1"/>
  <c r="M45" i="3"/>
  <c r="N45" i="3" s="1"/>
  <c r="O44" i="3"/>
  <c r="P44" i="3" s="1"/>
  <c r="T12" i="3" l="1"/>
  <c r="R12" i="3"/>
  <c r="Q51" i="3"/>
  <c r="R51" i="3" s="1"/>
  <c r="R50" i="3"/>
  <c r="T26" i="3"/>
  <c r="R26" i="3"/>
  <c r="T27" i="3"/>
  <c r="R27" i="3"/>
  <c r="O45" i="3"/>
  <c r="P45" i="3" s="1"/>
  <c r="Q44" i="3"/>
  <c r="K51" i="3"/>
  <c r="K18" i="3"/>
  <c r="M18" i="3"/>
  <c r="N18" i="3" s="1"/>
  <c r="J16" i="3"/>
  <c r="J18" i="3" s="1"/>
  <c r="J12" i="3"/>
  <c r="J13" i="3" s="1"/>
  <c r="Q45" i="3" l="1"/>
  <c r="R45" i="3" s="1"/>
  <c r="R44" i="3"/>
  <c r="J61" i="3"/>
  <c r="I61" i="3"/>
  <c r="J20" i="3" l="1"/>
  <c r="M20" i="3" l="1"/>
  <c r="N20" i="3" s="1"/>
  <c r="I51" i="3"/>
  <c r="J51" i="3" l="1"/>
  <c r="I45" i="3"/>
  <c r="Q18" i="3"/>
  <c r="Q22" i="3"/>
  <c r="M15" i="3" l="1"/>
  <c r="N15" i="3" s="1"/>
  <c r="J15" i="3"/>
  <c r="O15" i="3" l="1"/>
  <c r="P15" i="3" s="1"/>
  <c r="O20" i="3"/>
  <c r="P20" i="3" s="1"/>
  <c r="I12" i="3"/>
  <c r="Q15" i="3" l="1"/>
  <c r="Q20" i="3"/>
  <c r="Q13" i="3"/>
  <c r="H11" i="3"/>
  <c r="I13" i="3"/>
  <c r="T20" i="3" l="1"/>
  <c r="R20" i="3"/>
  <c r="T15" i="3"/>
  <c r="R15" i="3"/>
  <c r="H12" i="3"/>
  <c r="H13" i="3" s="1"/>
  <c r="G48" i="3"/>
  <c r="J48" i="3" s="1"/>
  <c r="M48" i="3" s="1"/>
  <c r="E46" i="3"/>
  <c r="E47" i="3" s="1"/>
  <c r="E45" i="3"/>
  <c r="D45" i="3"/>
  <c r="H44" i="3"/>
  <c r="F44" i="3"/>
  <c r="G44" i="3" s="1"/>
  <c r="G45" i="3" s="1"/>
  <c r="E42" i="3"/>
  <c r="D42" i="3"/>
  <c r="E41" i="3"/>
  <c r="D41" i="3"/>
  <c r="E39" i="3"/>
  <c r="E38" i="3"/>
  <c r="H36" i="3"/>
  <c r="G31" i="3"/>
  <c r="E30" i="3"/>
  <c r="E29" i="3"/>
  <c r="E28" i="3"/>
  <c r="G26" i="3"/>
  <c r="O22" i="3"/>
  <c r="M22" i="3"/>
  <c r="N22" i="3" s="1"/>
  <c r="J22" i="3"/>
  <c r="G22" i="3"/>
  <c r="D18" i="3"/>
  <c r="O18" i="3"/>
  <c r="G16" i="3"/>
  <c r="G18" i="3" s="1"/>
  <c r="E16" i="3"/>
  <c r="E18" i="3" s="1"/>
  <c r="G14" i="3"/>
  <c r="G12" i="3" s="1"/>
  <c r="G13" i="3" s="1"/>
  <c r="O13" i="3"/>
  <c r="M13" i="3"/>
  <c r="N13" i="3" s="1"/>
  <c r="F12" i="3"/>
  <c r="F13" i="3" s="1"/>
  <c r="E12" i="3"/>
  <c r="E13" i="3" s="1"/>
  <c r="D12" i="3"/>
  <c r="G11" i="3"/>
  <c r="B4" i="3"/>
  <c r="O48" i="3" l="1"/>
  <c r="N48" i="3"/>
  <c r="T13" i="3"/>
  <c r="P13" i="3"/>
  <c r="T18" i="3"/>
  <c r="P18" i="3"/>
  <c r="R18" i="3"/>
  <c r="R13" i="3"/>
  <c r="T22" i="3"/>
  <c r="P22" i="3"/>
  <c r="R22" i="3"/>
  <c r="E40" i="3"/>
  <c r="H45" i="3"/>
  <c r="D13" i="3"/>
  <c r="G46" i="3"/>
  <c r="Q48" i="3" l="1"/>
  <c r="R48" i="3" s="1"/>
  <c r="P48" i="3"/>
  <c r="G47" i="3"/>
  <c r="J46" i="3"/>
  <c r="J47" i="3" l="1"/>
  <c r="M46" i="3"/>
  <c r="N46" i="3" s="1"/>
  <c r="M47" i="3" l="1"/>
  <c r="N47" i="3" s="1"/>
  <c r="O46" i="3"/>
  <c r="P46" i="3" s="1"/>
  <c r="O47" i="3" l="1"/>
  <c r="P47" i="3" s="1"/>
  <c r="Q46" i="3"/>
  <c r="Q47" i="3" l="1"/>
  <c r="R47" i="3" s="1"/>
  <c r="R46" i="3"/>
</calcChain>
</file>

<file path=xl/sharedStrings.xml><?xml version="1.0" encoding="utf-8"?>
<sst xmlns="http://schemas.openxmlformats.org/spreadsheetml/2006/main" count="152" uniqueCount="110">
  <si>
    <t>№ стр.</t>
  </si>
  <si>
    <t>Единица измерения</t>
  </si>
  <si>
    <t>отчет</t>
  </si>
  <si>
    <t xml:space="preserve"> оценка</t>
  </si>
  <si>
    <t>человек</t>
  </si>
  <si>
    <t>Численность тpудоспособного населения в трудоспособном возрасте</t>
  </si>
  <si>
    <t>Численность занятых всеми видами  экономической деятельности</t>
  </si>
  <si>
    <t>Численность занятых всеми видами  экономической деятельности к  численности постоянного населения</t>
  </si>
  <si>
    <t>%</t>
  </si>
  <si>
    <t>Уровень официально зарегистрированной безработицы, в % к экономически активному населению</t>
  </si>
  <si>
    <t>Сpеднемесячная заpаботная плата pаботников предприятий и организаций</t>
  </si>
  <si>
    <t>руб.</t>
  </si>
  <si>
    <t xml:space="preserve"> Производство важнейших видов промышленной продукции</t>
  </si>
  <si>
    <t>тонн</t>
  </si>
  <si>
    <t>Алмазы природные несортированные</t>
  </si>
  <si>
    <t>долларов</t>
  </si>
  <si>
    <t>Книги, брошюры, листовки печатные</t>
  </si>
  <si>
    <t>млн. штук</t>
  </si>
  <si>
    <t>Газеты (экземпляров, тираж условный /в 4-х полосном исчислении формата А2/)</t>
  </si>
  <si>
    <t>тыс.тонн</t>
  </si>
  <si>
    <t>Нефть добытая</t>
  </si>
  <si>
    <t>млн. куб. метров</t>
  </si>
  <si>
    <t>Рыба и продукты рыбные переработанные и консервированные</t>
  </si>
  <si>
    <t>Хлеб и хлебобулочные изделия</t>
  </si>
  <si>
    <t xml:space="preserve"> Численность сельскохозяйственных животных: </t>
  </si>
  <si>
    <t xml:space="preserve">       - КРС</t>
  </si>
  <si>
    <t>голов</t>
  </si>
  <si>
    <t xml:space="preserve">           - в том числе коров</t>
  </si>
  <si>
    <t xml:space="preserve">       - свиней</t>
  </si>
  <si>
    <t xml:space="preserve">       - птиц</t>
  </si>
  <si>
    <t xml:space="preserve"> Объем производства сельскохозяйственной продукции:</t>
  </si>
  <si>
    <t xml:space="preserve">       - скота и птицы в живом весе</t>
  </si>
  <si>
    <t xml:space="preserve">       - молока</t>
  </si>
  <si>
    <t xml:space="preserve">       - яиц</t>
  </si>
  <si>
    <t>тыс.шт.</t>
  </si>
  <si>
    <t xml:space="preserve">       - картофеля</t>
  </si>
  <si>
    <t xml:space="preserve">       - овощей</t>
  </si>
  <si>
    <t>тыс.pуб.</t>
  </si>
  <si>
    <t xml:space="preserve">             в сопоставимых ценах, в % к предыдущему году</t>
  </si>
  <si>
    <t>Платные услуги населению в действующих ценах</t>
  </si>
  <si>
    <t xml:space="preserve">Производство потребительских товаров  в действующих ценах </t>
  </si>
  <si>
    <t>Официально признанные безработные</t>
  </si>
  <si>
    <t>Налоговые доходы по всем уровням</t>
  </si>
  <si>
    <t>Средства, передаваемые на безвозмездной и безвозвратных основах (дотация)</t>
  </si>
  <si>
    <t>Всего доходов местного бюджета</t>
  </si>
  <si>
    <t>Расходы местного бюджета</t>
  </si>
  <si>
    <t>х</t>
  </si>
  <si>
    <t>карат</t>
  </si>
  <si>
    <t>Алмазы природные сортированные, кроме технических (всего по Мирнинскому району)</t>
  </si>
  <si>
    <t>Молоко, кроме сырого</t>
  </si>
  <si>
    <t>Численность занятых на предприятиях и организациях (без учета внешних совместителей)</t>
  </si>
  <si>
    <t>оценка</t>
  </si>
  <si>
    <t xml:space="preserve">          в % к предыдущему году</t>
  </si>
  <si>
    <t>Численность населения на конец отчетного периода</t>
  </si>
  <si>
    <t>факт</t>
  </si>
  <si>
    <t xml:space="preserve">      продовольственные товары</t>
  </si>
  <si>
    <t xml:space="preserve">      непродовольственные товары</t>
  </si>
  <si>
    <t xml:space="preserve">      услуги</t>
  </si>
  <si>
    <t>% к соответствующему периоду прошлого года</t>
  </si>
  <si>
    <t xml:space="preserve">Безвозмездные поступления </t>
  </si>
  <si>
    <t>Налоговые и неналоговые доходы местного бюджета</t>
  </si>
  <si>
    <t>Отчет</t>
  </si>
  <si>
    <t>Оценка</t>
  </si>
  <si>
    <t>по таблице с района</t>
  </si>
  <si>
    <t>2023 год статистика
2024 год по данным статистики за август 2024</t>
  </si>
  <si>
    <t>1375 СМСП</t>
  </si>
  <si>
    <t>взята процентовкой с ПВС на 01.01.2023</t>
  </si>
  <si>
    <t>2023 год по данным ЦЗ</t>
  </si>
  <si>
    <t>2023 год по статистики, далее по прогнозу МР</t>
  </si>
  <si>
    <t>Газ горючий природный и попутный</t>
  </si>
  <si>
    <t>Полуфабрикаты мясные, мясосодержащие, охлажденные, замороженные</t>
  </si>
  <si>
    <t>2023 год по статистики далее процентовкой</t>
  </si>
  <si>
    <t>2023 год статистика далее на ИПЦ</t>
  </si>
  <si>
    <t>Оборот организаций (без НДС и акциза)</t>
  </si>
  <si>
    <t>Объем отгруженных товаров собственного производства, выполненных работ и услуг собственными силами (в действующих ценах без НДС и акциза, включая СМСП)</t>
  </si>
  <si>
    <t>Экономически активное население</t>
  </si>
  <si>
    <t>Демографические показатели</t>
  </si>
  <si>
    <t>1.1.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</si>
  <si>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</si>
  <si>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</si>
  <si>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</si>
  <si>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</si>
  <si>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</si>
  <si>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</si>
  <si>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</si>
  <si>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</si>
  <si>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</si>
  <si>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</si>
  <si>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</si>
  <si>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Потребительский рынок</t>
  </si>
  <si>
    <t>4.1.</t>
  </si>
  <si>
    <t>4.2.</t>
  </si>
  <si>
    <t>4.3.</t>
  </si>
  <si>
    <t>4.4.</t>
  </si>
  <si>
    <t>4.5.</t>
  </si>
  <si>
    <t>Бюджет</t>
  </si>
  <si>
    <t>5.1.</t>
  </si>
  <si>
    <t>5.2.</t>
  </si>
  <si>
    <t>5.3.</t>
  </si>
  <si>
    <t>5.4.</t>
  </si>
  <si>
    <t>5.5.</t>
  </si>
  <si>
    <t>5.6.</t>
  </si>
  <si>
    <t>Базовый индекс потребительских цен</t>
  </si>
  <si>
    <t>Занятость и уровень жизни населения</t>
  </si>
  <si>
    <t xml:space="preserve">прогноз </t>
  </si>
  <si>
    <t>темп роста к 2024 году</t>
  </si>
  <si>
    <t>темп роста к 2025 году</t>
  </si>
  <si>
    <t>темп роста к 2026 году</t>
  </si>
  <si>
    <t>Социально-экономическое положение и прогноз МО "Город Мирный" на 2025-2027 годы</t>
  </si>
  <si>
    <t>Приложение к прогнозу социально-экономического развития МО «Город Мирный» Мирнинского района Республики Саха (Якутия) на 2025 год и плановый период 2026-2027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</si>
</sst>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i/>
      <sz val="9"/>
      <color indexed="3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9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333333"/>
      <name val="Tahoma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>
      <alignment horizontal="left" vertical="top"/>
    </xf>
    <xf numFmtId="0" fontId="4" fillId="0" borderId="0" xfId="1" applyFont="1" applyAlignment="1" applyProtection="1">
      <alignment horizontal="center" vertical="top" wrapText="1"/>
      <protection hidden="1"/>
    </xf>
    <xf numFmtId="0" fontId="1" fillId="0" borderId="0" xfId="1"/>
    <xf numFmtId="0" fontId="5" fillId="0" borderId="0" xfId="1" applyFont="1" applyAlignment="1">
      <alignment horizontal="right" vertical="top"/>
    </xf>
    <xf numFmtId="0" fontId="1" fillId="0" borderId="0" xfId="1" applyAlignment="1">
      <alignment wrapText="1"/>
    </xf>
    <xf numFmtId="0" fontId="7" fillId="0" borderId="0" xfId="1" applyFont="1" applyAlignment="1">
      <alignment horizontal="left" vertical="top"/>
    </xf>
    <xf numFmtId="164" fontId="6" fillId="0" borderId="1" xfId="2" applyFont="1" applyFill="1" applyBorder="1" applyProtection="1"/>
    <xf numFmtId="164" fontId="6" fillId="0" borderId="1" xfId="2" applyFont="1" applyFill="1" applyBorder="1" applyAlignment="1" applyProtection="1">
      <alignment horizontal="right"/>
    </xf>
    <xf numFmtId="3" fontId="2" fillId="0" borderId="1" xfId="1" applyNumberFormat="1" applyFont="1" applyBorder="1"/>
    <xf numFmtId="4" fontId="2" fillId="0" borderId="1" xfId="1" applyNumberFormat="1" applyFont="1" applyBorder="1"/>
    <xf numFmtId="165" fontId="2" fillId="0" borderId="1" xfId="1" applyNumberFormat="1" applyFont="1" applyBorder="1"/>
    <xf numFmtId="3" fontId="6" fillId="0" borderId="1" xfId="1" applyNumberFormat="1" applyFont="1" applyBorder="1"/>
    <xf numFmtId="164" fontId="2" fillId="0" borderId="1" xfId="2" applyFont="1" applyFill="1" applyBorder="1" applyAlignment="1" applyProtection="1"/>
    <xf numFmtId="164" fontId="6" fillId="0" borderId="1" xfId="2" applyFont="1" applyFill="1" applyBorder="1" applyAlignment="1" applyProtection="1">
      <alignment horizontal="center"/>
    </xf>
    <xf numFmtId="166" fontId="1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164" fontId="1" fillId="0" borderId="0" xfId="1" applyNumberFormat="1"/>
    <xf numFmtId="164" fontId="2" fillId="0" borderId="1" xfId="2" applyFont="1" applyBorder="1"/>
    <xf numFmtId="164" fontId="6" fillId="0" borderId="1" xfId="2" applyFont="1" applyBorder="1"/>
    <xf numFmtId="164" fontId="2" fillId="0" borderId="1" xfId="2" applyFont="1" applyBorder="1" applyAlignment="1"/>
    <xf numFmtId="164" fontId="11" fillId="0" borderId="1" xfId="2" applyFont="1" applyBorder="1" applyAlignment="1">
      <alignment vertical="center" wrapText="1"/>
    </xf>
    <xf numFmtId="164" fontId="6" fillId="0" borderId="1" xfId="2" applyFont="1" applyBorder="1" applyAlignment="1">
      <alignment vertical="center" wrapText="1"/>
    </xf>
    <xf numFmtId="167" fontId="2" fillId="0" borderId="1" xfId="2" applyNumberFormat="1" applyFont="1" applyBorder="1"/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6" fillId="0" borderId="0" xfId="1" applyFont="1"/>
    <xf numFmtId="0" fontId="2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164" fontId="12" fillId="0" borderId="0" xfId="2" applyFont="1"/>
    <xf numFmtId="167" fontId="2" fillId="0" borderId="1" xfId="2" applyNumberFormat="1" applyFont="1" applyFill="1" applyBorder="1"/>
    <xf numFmtId="164" fontId="2" fillId="0" borderId="1" xfId="2" applyFont="1" applyFill="1" applyBorder="1"/>
    <xf numFmtId="164" fontId="6" fillId="0" borderId="1" xfId="2" applyFont="1" applyFill="1" applyBorder="1"/>
    <xf numFmtId="164" fontId="2" fillId="0" borderId="1" xfId="2" applyFont="1" applyFill="1" applyBorder="1" applyAlignment="1"/>
    <xf numFmtId="164" fontId="11" fillId="0" borderId="1" xfId="2" applyFont="1" applyFill="1" applyBorder="1" applyAlignment="1">
      <alignment vertical="center" wrapText="1"/>
    </xf>
    <xf numFmtId="164" fontId="6" fillId="0" borderId="1" xfId="2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16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/>
    <xf numFmtId="0" fontId="13" fillId="0" borderId="1" xfId="0" applyFont="1" applyBorder="1" applyAlignment="1">
      <alignment vertical="center" wrapText="1"/>
    </xf>
    <xf numFmtId="164" fontId="5" fillId="0" borderId="0" xfId="2" applyFont="1" applyAlignment="1">
      <alignment horizontal="right" vertical="top"/>
    </xf>
    <xf numFmtId="164" fontId="2" fillId="0" borderId="1" xfId="2" applyFont="1" applyBorder="1" applyAlignment="1">
      <alignment horizontal="center" vertical="center" wrapText="1"/>
    </xf>
    <xf numFmtId="164" fontId="1" fillId="0" borderId="0" xfId="2" applyFont="1"/>
    <xf numFmtId="0" fontId="14" fillId="0" borderId="0" xfId="0" applyFont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86;&#1094;&#1080;&#1072;&#1083;&#1100;&#1085;&#1086;-&#1101;&#1082;&#1086;&#1085;&#1086;&#1084;&#1080;&#1095;&#1077;&#1089;&#1082;&#1086;&#1077;%20&#1088;&#1072;&#1079;&#1074;&#1080;&#1090;&#1080;&#1077;%20&#1075;&#1086;&#1088;&#1086;&#1076;&#1072;\&#1055;&#1056;&#1054;&#1043;&#1053;&#1054;&#1047;\&#1055;&#1088;&#1086;&#1075;&#1085;&#1086;&#1079;%202019-2021\&#1044;&#1072;&#1085;&#1085;&#1099;&#1077;%20&#1088;&#1072;&#1081;&#1086;&#1085;&#1072;\&#1052;&#1072;&#1082;&#1077;&#1090;%20&#1087;&#1088;&#1086;&#1075;&#1085;&#1086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ьный лист"/>
      <sheetName val="дефляторы"/>
      <sheetName val="1"/>
      <sheetName val="2"/>
      <sheetName val="3"/>
      <sheetName val="4"/>
      <sheetName val="5"/>
      <sheetName val="6"/>
      <sheetName val="7"/>
      <sheetName val="8"/>
      <sheetName val="9"/>
      <sheetName val="10_1"/>
      <sheetName val="16"/>
      <sheetName val="23"/>
      <sheetName val="27"/>
      <sheetName val="28"/>
      <sheetName val="28_инфра"/>
      <sheetName val="28_АПК"/>
      <sheetName val="28_строй"/>
      <sheetName val="28_соц"/>
      <sheetName val="29"/>
      <sheetName val="30"/>
      <sheetName val="31"/>
      <sheetName val="32"/>
      <sheetName val="33"/>
      <sheetName val="35"/>
      <sheetName val="41"/>
      <sheetName val="41_1"/>
      <sheetName val="44"/>
      <sheetName val="Лист1"/>
    </sheetNames>
    <sheetDataSet>
      <sheetData sheetId="0">
        <row r="107">
          <cell r="I107" t="str">
            <v>Мирнинский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G17">
            <v>0</v>
          </cell>
          <cell r="I17">
            <v>0</v>
          </cell>
          <cell r="K17">
            <v>0</v>
          </cell>
          <cell r="M17"/>
          <cell r="O17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5145-09CC-4A5C-BA6B-0D9A1CB6DF04}">
  <sheetPr>
    <pageSetUpPr fitToPage="1"/>
  </sheetPr>
  <dimension ref="A1:W63"/>
  <sheetViews>
    <sheetView tabSelected="1" zoomScale="110" zoomScaleNormal="110" workbookViewId="0">
      <pane ySplit="7" topLeftCell="A8" activePane="bottomLeft" state="frozen"/>
      <selection pane="bottomLeft" activeCell="B3" sqref="B3:Q3"/>
    </sheetView>
  </sheetViews>
  <sheetFormatPr defaultColWidth="9.140625" defaultRowHeight="12.75" outlineLevelRow="1" outlineLevelCol="1" x14ac:dyDescent="0.2"/>
  <cols>
    <col min="1" max="1" width="4" style="3" customWidth="1"/>
    <col min="2" max="2" width="73.42578125" style="5" customWidth="1"/>
    <col min="3" max="3" width="12.42578125" style="3" customWidth="1"/>
    <col min="4" max="4" width="13.85546875" style="3" hidden="1" customWidth="1"/>
    <col min="5" max="5" width="15" style="3" hidden="1" customWidth="1"/>
    <col min="6" max="6" width="12.42578125" style="3" hidden="1" customWidth="1"/>
    <col min="7" max="7" width="7.85546875" style="3" hidden="1" customWidth="1"/>
    <col min="8" max="8" width="10.140625" style="3" hidden="1" customWidth="1"/>
    <col min="9" max="9" width="13.28515625" style="3" hidden="1" customWidth="1" outlineLevel="1"/>
    <col min="10" max="10" width="16.140625" style="3" hidden="1" customWidth="1" outlineLevel="1"/>
    <col min="11" max="11" width="16.140625" style="3" customWidth="1" collapsed="1"/>
    <col min="12" max="13" width="16.140625" style="3" customWidth="1"/>
    <col min="14" max="14" width="10.5703125" style="50" customWidth="1"/>
    <col min="15" max="15" width="16.140625" style="3" customWidth="1"/>
    <col min="16" max="16" width="10" style="3" customWidth="1"/>
    <col min="17" max="17" width="16.140625" style="3" customWidth="1"/>
    <col min="18" max="18" width="10.28515625" style="3" customWidth="1"/>
    <col min="19" max="19" width="11.42578125" style="34" customWidth="1"/>
    <col min="20" max="23" width="8.85546875" style="3" customWidth="1"/>
    <col min="24" max="16384" width="9.140625" style="3"/>
  </cols>
  <sheetData>
    <row r="1" spans="1:23" ht="46.5" customHeight="1" x14ac:dyDescent="0.2">
      <c r="O1" s="51" t="s">
        <v>109</v>
      </c>
      <c r="P1" s="51"/>
      <c r="Q1" s="51"/>
      <c r="R1" s="51"/>
    </row>
    <row r="3" spans="1:23" ht="27.75" customHeight="1" x14ac:dyDescent="0.2">
      <c r="A3" s="1"/>
      <c r="B3" s="55" t="s">
        <v>108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36"/>
      <c r="S3" s="33"/>
      <c r="T3" s="6"/>
      <c r="U3" s="6"/>
      <c r="V3" s="6"/>
      <c r="W3" s="6"/>
    </row>
    <row r="4" spans="1:23" ht="17.25" customHeight="1" x14ac:dyDescent="0.2">
      <c r="A4" s="1"/>
      <c r="B4" s="2" t="str">
        <f>ULUS</f>
        <v>Мирнинский</v>
      </c>
      <c r="J4" s="4"/>
      <c r="K4" s="4"/>
      <c r="L4" s="4"/>
      <c r="M4" s="4"/>
      <c r="N4" s="48"/>
      <c r="O4" s="4"/>
      <c r="P4" s="4"/>
      <c r="Q4" s="4"/>
      <c r="R4" s="4"/>
      <c r="S4" s="33"/>
      <c r="T4" s="6"/>
      <c r="U4" s="6"/>
      <c r="V4" s="6"/>
      <c r="W4" s="6"/>
    </row>
    <row r="5" spans="1:23" ht="15.95" customHeight="1" x14ac:dyDescent="0.2">
      <c r="A5" s="56" t="s">
        <v>0</v>
      </c>
      <c r="B5" s="56"/>
      <c r="C5" s="56" t="s">
        <v>1</v>
      </c>
      <c r="D5" s="18">
        <v>2018</v>
      </c>
      <c r="E5" s="18">
        <v>2019</v>
      </c>
      <c r="F5" s="18">
        <v>2019</v>
      </c>
      <c r="G5" s="18">
        <v>2020</v>
      </c>
      <c r="H5" s="18">
        <v>2020</v>
      </c>
      <c r="I5" s="18">
        <v>2021</v>
      </c>
      <c r="J5" s="18">
        <v>2022</v>
      </c>
      <c r="K5" s="18">
        <v>2023</v>
      </c>
      <c r="L5" s="18">
        <v>2024</v>
      </c>
      <c r="M5" s="57">
        <v>2025</v>
      </c>
      <c r="N5" s="57"/>
      <c r="O5" s="18">
        <v>2026</v>
      </c>
      <c r="P5" s="18"/>
      <c r="Q5" s="18">
        <v>2027</v>
      </c>
      <c r="R5" s="18"/>
      <c r="S5" s="33"/>
      <c r="T5" s="6"/>
      <c r="U5" s="6"/>
      <c r="V5" s="6"/>
      <c r="W5" s="6"/>
    </row>
    <row r="6" spans="1:23" ht="26.1" customHeight="1" x14ac:dyDescent="0.2">
      <c r="A6" s="56"/>
      <c r="B6" s="56"/>
      <c r="C6" s="56"/>
      <c r="D6" s="17" t="s">
        <v>2</v>
      </c>
      <c r="E6" s="17" t="s">
        <v>3</v>
      </c>
      <c r="F6" s="17" t="s">
        <v>2</v>
      </c>
      <c r="G6" s="17" t="s">
        <v>51</v>
      </c>
      <c r="H6" s="17" t="s">
        <v>2</v>
      </c>
      <c r="I6" s="17" t="s">
        <v>54</v>
      </c>
      <c r="J6" s="17" t="s">
        <v>54</v>
      </c>
      <c r="K6" s="17" t="s">
        <v>61</v>
      </c>
      <c r="L6" s="17" t="s">
        <v>62</v>
      </c>
      <c r="M6" s="17" t="s">
        <v>104</v>
      </c>
      <c r="N6" s="49" t="s">
        <v>105</v>
      </c>
      <c r="O6" s="17" t="s">
        <v>104</v>
      </c>
      <c r="P6" s="17" t="s">
        <v>106</v>
      </c>
      <c r="Q6" s="17" t="s">
        <v>104</v>
      </c>
      <c r="R6" s="17" t="s">
        <v>107</v>
      </c>
      <c r="S6" s="33"/>
      <c r="T6" s="6"/>
      <c r="U6" s="6"/>
      <c r="V6" s="6"/>
      <c r="W6" s="6"/>
    </row>
    <row r="7" spans="1:23" ht="19.5" hidden="1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9"/>
      <c r="O7" s="17"/>
      <c r="P7" s="17"/>
      <c r="Q7" s="17"/>
      <c r="R7" s="17"/>
      <c r="S7" s="33"/>
      <c r="T7" s="6"/>
      <c r="U7" s="6"/>
      <c r="V7" s="6"/>
      <c r="W7" s="6"/>
    </row>
    <row r="8" spans="1:23" ht="19.5" customHeight="1" x14ac:dyDescent="0.2">
      <c r="A8" s="17">
        <v>1</v>
      </c>
      <c r="B8" s="44" t="s">
        <v>76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49"/>
      <c r="O8" s="17"/>
      <c r="P8" s="17"/>
      <c r="Q8" s="17"/>
      <c r="R8" s="17"/>
      <c r="S8" s="33"/>
      <c r="T8" s="6"/>
      <c r="U8" s="6"/>
      <c r="V8" s="6"/>
      <c r="W8" s="6"/>
    </row>
    <row r="9" spans="1:23" ht="15.95" customHeight="1" x14ac:dyDescent="0.2">
      <c r="A9" s="45" t="s">
        <v>77</v>
      </c>
      <c r="B9" s="20" t="s">
        <v>53</v>
      </c>
      <c r="C9" s="17" t="s">
        <v>4</v>
      </c>
      <c r="D9" s="9">
        <v>35381</v>
      </c>
      <c r="E9" s="9">
        <v>35402</v>
      </c>
      <c r="F9" s="9">
        <v>35390</v>
      </c>
      <c r="G9" s="9">
        <v>35398</v>
      </c>
      <c r="H9" s="9">
        <v>35416</v>
      </c>
      <c r="I9" s="9">
        <v>35799</v>
      </c>
      <c r="J9" s="31">
        <v>34013</v>
      </c>
      <c r="K9" s="38">
        <v>34114</v>
      </c>
      <c r="L9" s="38">
        <v>34216</v>
      </c>
      <c r="M9" s="38">
        <v>34317</v>
      </c>
      <c r="N9" s="39">
        <f>M9*100/L9</f>
        <v>100.2951835398644</v>
      </c>
      <c r="O9" s="38">
        <v>34374</v>
      </c>
      <c r="P9" s="39">
        <f>O9*100/M9</f>
        <v>100.1660984351779</v>
      </c>
      <c r="Q9" s="38">
        <v>34374</v>
      </c>
      <c r="R9" s="39">
        <f>Q9*100/O9</f>
        <v>100</v>
      </c>
      <c r="S9" s="33" t="s">
        <v>63</v>
      </c>
      <c r="T9" s="3">
        <f>Q9*100/O9</f>
        <v>100</v>
      </c>
    </row>
    <row r="10" spans="1:23" ht="15.95" customHeight="1" x14ac:dyDescent="0.2">
      <c r="A10" s="19">
        <v>2</v>
      </c>
      <c r="B10" s="44" t="s">
        <v>103</v>
      </c>
      <c r="C10" s="17"/>
      <c r="D10" s="9"/>
      <c r="E10" s="9"/>
      <c r="F10" s="9"/>
      <c r="G10" s="9"/>
      <c r="H10" s="9"/>
      <c r="I10" s="9"/>
      <c r="J10" s="31"/>
      <c r="K10" s="38"/>
      <c r="L10" s="38"/>
      <c r="M10" s="38"/>
      <c r="N10" s="39"/>
      <c r="O10" s="38"/>
      <c r="P10" s="39"/>
      <c r="Q10" s="38"/>
      <c r="R10" s="39"/>
      <c r="S10" s="33"/>
    </row>
    <row r="11" spans="1:23" x14ac:dyDescent="0.2">
      <c r="A11" s="19" t="s">
        <v>78</v>
      </c>
      <c r="B11" s="20" t="s">
        <v>5</v>
      </c>
      <c r="C11" s="17" t="s">
        <v>4</v>
      </c>
      <c r="D11" s="9">
        <v>21982</v>
      </c>
      <c r="E11" s="9">
        <v>22008</v>
      </c>
      <c r="F11" s="9">
        <v>20136</v>
      </c>
      <c r="G11" s="9">
        <f>G9*56.89%</f>
        <v>20137.922199999997</v>
      </c>
      <c r="H11" s="9">
        <f>10151+11370</f>
        <v>21521</v>
      </c>
      <c r="I11" s="9">
        <v>22318</v>
      </c>
      <c r="J11" s="31">
        <v>20737</v>
      </c>
      <c r="K11" s="38">
        <f>K9*63.08/100</f>
        <v>21519.111199999999</v>
      </c>
      <c r="L11" s="38">
        <f>L9*63.08/100</f>
        <v>21583.452799999999</v>
      </c>
      <c r="M11" s="38">
        <f>M9*63.08/100</f>
        <v>21647.1636</v>
      </c>
      <c r="N11" s="39">
        <f t="shared" ref="N11:N62" si="0">M11*100/L11</f>
        <v>100.29518353986438</v>
      </c>
      <c r="O11" s="38">
        <f>O9*63.08/100</f>
        <v>21683.119200000001</v>
      </c>
      <c r="P11" s="39">
        <f t="shared" ref="P11:P62" si="1">O11*100/M11</f>
        <v>100.1660984351779</v>
      </c>
      <c r="Q11" s="38">
        <f>Q9*63.08/100</f>
        <v>21683.119200000001</v>
      </c>
      <c r="R11" s="39">
        <f t="shared" ref="R11:R62" si="2">Q11*100/O11</f>
        <v>99.999999999999986</v>
      </c>
      <c r="S11" s="33" t="s">
        <v>66</v>
      </c>
      <c r="T11" s="3">
        <f t="shared" ref="T11:T42" si="3">Q11*100/O11</f>
        <v>99.999999999999986</v>
      </c>
    </row>
    <row r="12" spans="1:23" x14ac:dyDescent="0.2">
      <c r="A12" s="19" t="s">
        <v>79</v>
      </c>
      <c r="B12" s="20" t="s">
        <v>6</v>
      </c>
      <c r="C12" s="17" t="s">
        <v>4</v>
      </c>
      <c r="D12" s="9">
        <f>D14+1066+917</f>
        <v>23189</v>
      </c>
      <c r="E12" s="9">
        <f>E14+925+1136</f>
        <v>23086</v>
      </c>
      <c r="F12" s="9">
        <f>21224+970+1158</f>
        <v>23352</v>
      </c>
      <c r="G12" s="9">
        <f>G14+970+1158</f>
        <v>22819</v>
      </c>
      <c r="H12" s="9">
        <f>21318+938+875</f>
        <v>23131</v>
      </c>
      <c r="I12" s="9">
        <f>I14+1383</f>
        <v>23151</v>
      </c>
      <c r="J12" s="31">
        <f>J14+1356</f>
        <v>23156</v>
      </c>
      <c r="K12" s="38">
        <f>K14+1375</f>
        <v>23154</v>
      </c>
      <c r="L12" s="38">
        <f>L14+1375</f>
        <v>23248</v>
      </c>
      <c r="M12" s="38">
        <f>M14+1375</f>
        <v>23310.4264</v>
      </c>
      <c r="N12" s="39">
        <f t="shared" si="0"/>
        <v>100.26852374397798</v>
      </c>
      <c r="O12" s="38">
        <f>O14+1375</f>
        <v>23346.860799999999</v>
      </c>
      <c r="P12" s="39">
        <f t="shared" si="1"/>
        <v>100.15630087315778</v>
      </c>
      <c r="Q12" s="38">
        <f>Q14+1375</f>
        <v>23353.860799999999</v>
      </c>
      <c r="R12" s="39">
        <f t="shared" si="2"/>
        <v>100.02998261762028</v>
      </c>
      <c r="S12" s="33" t="s">
        <v>65</v>
      </c>
      <c r="T12" s="3">
        <f t="shared" si="3"/>
        <v>100.02998261762028</v>
      </c>
    </row>
    <row r="13" spans="1:23" ht="26.1" customHeight="1" x14ac:dyDescent="0.2">
      <c r="A13" s="19" t="s">
        <v>80</v>
      </c>
      <c r="B13" s="20" t="s">
        <v>7</v>
      </c>
      <c r="C13" s="17" t="s">
        <v>8</v>
      </c>
      <c r="D13" s="10">
        <f t="shared" ref="D13:I13" si="4">D12/D9*100</f>
        <v>65.54082699754106</v>
      </c>
      <c r="E13" s="10">
        <f t="shared" si="4"/>
        <v>65.211005027964518</v>
      </c>
      <c r="F13" s="10">
        <f t="shared" si="4"/>
        <v>65.984741452387681</v>
      </c>
      <c r="G13" s="10">
        <f t="shared" si="4"/>
        <v>64.464094016611114</v>
      </c>
      <c r="H13" s="10">
        <f t="shared" si="4"/>
        <v>65.312288231307875</v>
      </c>
      <c r="I13" s="10">
        <f t="shared" si="4"/>
        <v>64.669404173300933</v>
      </c>
      <c r="J13" s="26">
        <f>J12/J9*100</f>
        <v>68.079851821362425</v>
      </c>
      <c r="K13" s="39">
        <f>K12/K9*100</f>
        <v>67.872427742275903</v>
      </c>
      <c r="L13" s="39">
        <f>L12/L9*100</f>
        <v>67.944821136310495</v>
      </c>
      <c r="M13" s="39">
        <f>M12/M9*100</f>
        <v>67.926760497712507</v>
      </c>
      <c r="N13" s="39">
        <f t="shared" si="0"/>
        <v>99.973418667830842</v>
      </c>
      <c r="O13" s="39">
        <f>O12/O9*100</f>
        <v>67.920116367021578</v>
      </c>
      <c r="P13" s="39">
        <f t="shared" si="1"/>
        <v>99.990218684591682</v>
      </c>
      <c r="Q13" s="39">
        <f>Q12/Q9*100</f>
        <v>67.940480595799144</v>
      </c>
      <c r="R13" s="39">
        <f t="shared" si="2"/>
        <v>100.02998261762028</v>
      </c>
      <c r="S13" s="33"/>
      <c r="T13" s="3">
        <f t="shared" si="3"/>
        <v>100.02998261762028</v>
      </c>
    </row>
    <row r="14" spans="1:23" ht="29.25" customHeight="1" x14ac:dyDescent="0.2">
      <c r="A14" s="19" t="s">
        <v>81</v>
      </c>
      <c r="B14" s="20" t="s">
        <v>50</v>
      </c>
      <c r="C14" s="17" t="s">
        <v>4</v>
      </c>
      <c r="D14" s="9">
        <v>21206</v>
      </c>
      <c r="E14" s="9">
        <v>21025</v>
      </c>
      <c r="F14" s="9">
        <v>21224</v>
      </c>
      <c r="G14" s="9">
        <f>F14-533</f>
        <v>20691</v>
      </c>
      <c r="H14" s="9">
        <v>21318</v>
      </c>
      <c r="I14" s="9">
        <v>21768</v>
      </c>
      <c r="J14" s="31">
        <v>21800</v>
      </c>
      <c r="K14" s="38">
        <v>21779</v>
      </c>
      <c r="L14" s="38">
        <v>21873</v>
      </c>
      <c r="M14" s="38">
        <f>M9*63.92%</f>
        <v>21935.4264</v>
      </c>
      <c r="N14" s="39">
        <f t="shared" si="0"/>
        <v>100.28540392264436</v>
      </c>
      <c r="O14" s="38">
        <f>O9*63.92%</f>
        <v>21971.860799999999</v>
      </c>
      <c r="P14" s="39">
        <f t="shared" si="1"/>
        <v>100.1660984351779</v>
      </c>
      <c r="Q14" s="38">
        <f>O14+7</f>
        <v>21978.860799999999</v>
      </c>
      <c r="R14" s="39">
        <f t="shared" si="2"/>
        <v>100.03185893112887</v>
      </c>
      <c r="S14" s="32" t="s">
        <v>64</v>
      </c>
      <c r="T14" s="3">
        <f t="shared" si="3"/>
        <v>100.03185893112887</v>
      </c>
    </row>
    <row r="15" spans="1:23" ht="16.5" hidden="1" customHeight="1" x14ac:dyDescent="0.2">
      <c r="A15" s="19"/>
      <c r="B15" s="20"/>
      <c r="C15" s="17"/>
      <c r="D15" s="9"/>
      <c r="E15" s="9"/>
      <c r="F15" s="9"/>
      <c r="G15" s="9"/>
      <c r="H15" s="9"/>
      <c r="I15" s="9"/>
      <c r="J15" s="31">
        <f>J14-I14</f>
        <v>32</v>
      </c>
      <c r="K15" s="38"/>
      <c r="L15" s="38"/>
      <c r="M15" s="38">
        <f>M14-J14</f>
        <v>135.42640000000029</v>
      </c>
      <c r="N15" s="39" t="e">
        <f t="shared" si="0"/>
        <v>#DIV/0!</v>
      </c>
      <c r="O15" s="38">
        <f>O14-M14</f>
        <v>36.434399999998277</v>
      </c>
      <c r="P15" s="39">
        <f t="shared" si="1"/>
        <v>26.903469338325614</v>
      </c>
      <c r="Q15" s="38">
        <f>Q14-O14</f>
        <v>7</v>
      </c>
      <c r="R15" s="39">
        <f t="shared" si="2"/>
        <v>19.212612256549665</v>
      </c>
      <c r="S15" s="33"/>
      <c r="T15" s="3">
        <f t="shared" si="3"/>
        <v>19.212612256549665</v>
      </c>
    </row>
    <row r="16" spans="1:23" ht="20.25" customHeight="1" x14ac:dyDescent="0.2">
      <c r="A16" s="19" t="s">
        <v>82</v>
      </c>
      <c r="B16" s="20" t="s">
        <v>75</v>
      </c>
      <c r="C16" s="17" t="s">
        <v>4</v>
      </c>
      <c r="D16" s="10">
        <v>26506</v>
      </c>
      <c r="E16" s="9">
        <f>E9*75%</f>
        <v>26551.5</v>
      </c>
      <c r="F16" s="9">
        <v>26270</v>
      </c>
      <c r="G16" s="9">
        <f>G9*74.23%</f>
        <v>26275.935400000002</v>
      </c>
      <c r="H16" s="9">
        <v>26580</v>
      </c>
      <c r="I16" s="9">
        <v>26410</v>
      </c>
      <c r="J16" s="31">
        <f>J9*75.61/100</f>
        <v>25717.229300000003</v>
      </c>
      <c r="K16" s="38">
        <f>K9*75.83/100</f>
        <v>25868.646200000003</v>
      </c>
      <c r="L16" s="38">
        <f>L9*75.83/100</f>
        <v>25945.992799999996</v>
      </c>
      <c r="M16" s="38">
        <f>M9*75.83/100</f>
        <v>26022.581099999999</v>
      </c>
      <c r="N16" s="39">
        <f t="shared" si="0"/>
        <v>100.2951835398644</v>
      </c>
      <c r="O16" s="38">
        <f>O9*75.83/100</f>
        <v>26065.804199999999</v>
      </c>
      <c r="P16" s="39">
        <f t="shared" si="1"/>
        <v>100.1660984351779</v>
      </c>
      <c r="Q16" s="38">
        <f>Q9*75.83/100</f>
        <v>26065.804199999999</v>
      </c>
      <c r="R16" s="39">
        <f t="shared" si="2"/>
        <v>100</v>
      </c>
      <c r="S16" s="33"/>
      <c r="T16" s="3">
        <f t="shared" si="3"/>
        <v>100</v>
      </c>
    </row>
    <row r="17" spans="1:20" ht="20.25" customHeight="1" x14ac:dyDescent="0.2">
      <c r="A17" s="19" t="s">
        <v>83</v>
      </c>
      <c r="B17" s="20" t="s">
        <v>41</v>
      </c>
      <c r="C17" s="17" t="s">
        <v>4</v>
      </c>
      <c r="D17" s="10">
        <v>304</v>
      </c>
      <c r="E17" s="10">
        <v>300</v>
      </c>
      <c r="F17" s="10">
        <v>280</v>
      </c>
      <c r="G17" s="10">
        <v>800</v>
      </c>
      <c r="H17" s="10">
        <v>968</v>
      </c>
      <c r="I17" s="10">
        <v>352</v>
      </c>
      <c r="J17" s="31">
        <v>192</v>
      </c>
      <c r="K17" s="38">
        <v>168</v>
      </c>
      <c r="L17" s="38">
        <v>90</v>
      </c>
      <c r="M17" s="38">
        <v>85</v>
      </c>
      <c r="N17" s="39">
        <f t="shared" si="0"/>
        <v>94.444444444444443</v>
      </c>
      <c r="O17" s="38">
        <v>80</v>
      </c>
      <c r="P17" s="39">
        <f t="shared" si="1"/>
        <v>94.117647058823536</v>
      </c>
      <c r="Q17" s="38">
        <v>75</v>
      </c>
      <c r="R17" s="39">
        <f t="shared" si="2"/>
        <v>93.75</v>
      </c>
      <c r="S17" s="33" t="s">
        <v>67</v>
      </c>
      <c r="T17" s="3">
        <f t="shared" si="3"/>
        <v>93.75</v>
      </c>
    </row>
    <row r="18" spans="1:20" ht="26.1" customHeight="1" x14ac:dyDescent="0.2">
      <c r="A18" s="19" t="s">
        <v>84</v>
      </c>
      <c r="B18" s="20" t="s">
        <v>9</v>
      </c>
      <c r="C18" s="17" t="s">
        <v>8</v>
      </c>
      <c r="D18" s="10">
        <f>D17*100/D16</f>
        <v>1.146910133554667</v>
      </c>
      <c r="E18" s="10">
        <f>E17*100/E16</f>
        <v>1.1298796678153777</v>
      </c>
      <c r="F18" s="10">
        <v>1.17</v>
      </c>
      <c r="G18" s="10">
        <f>G17*100/G16</f>
        <v>3.0446109256304532</v>
      </c>
      <c r="H18" s="10">
        <v>4.0599999999999996</v>
      </c>
      <c r="I18" s="10">
        <v>1.7</v>
      </c>
      <c r="J18" s="26">
        <f>J17*100/J16</f>
        <v>0.74658120344247181</v>
      </c>
      <c r="K18" s="39">
        <f>K17*100/K16</f>
        <v>0.64943483590571505</v>
      </c>
      <c r="L18" s="39">
        <f>L17*100/L16</f>
        <v>0.34687437360269374</v>
      </c>
      <c r="M18" s="39">
        <f>M17*100/M16</f>
        <v>0.32663938935711495</v>
      </c>
      <c r="N18" s="39">
        <f t="shared" si="0"/>
        <v>94.166480493956655</v>
      </c>
      <c r="O18" s="39">
        <f>O17*100/O16</f>
        <v>0.30691552574464592</v>
      </c>
      <c r="P18" s="39">
        <f t="shared" si="1"/>
        <v>93.961578347519833</v>
      </c>
      <c r="Q18" s="39">
        <f>Q17*100/Q16</f>
        <v>0.2877333053856056</v>
      </c>
      <c r="R18" s="39">
        <f t="shared" si="2"/>
        <v>93.750000000000014</v>
      </c>
      <c r="S18" s="33"/>
      <c r="T18" s="3">
        <f t="shared" si="3"/>
        <v>93.750000000000014</v>
      </c>
    </row>
    <row r="19" spans="1:20" ht="27.75" customHeight="1" x14ac:dyDescent="0.2">
      <c r="A19" s="19" t="s">
        <v>85</v>
      </c>
      <c r="B19" s="20" t="s">
        <v>10</v>
      </c>
      <c r="C19" s="17" t="s">
        <v>11</v>
      </c>
      <c r="D19" s="10">
        <v>97094.69</v>
      </c>
      <c r="E19" s="10">
        <v>100347.29</v>
      </c>
      <c r="F19" s="13">
        <v>101650</v>
      </c>
      <c r="G19" s="10">
        <v>99220.19</v>
      </c>
      <c r="H19" s="10">
        <v>101663.7</v>
      </c>
      <c r="I19" s="10">
        <v>115017</v>
      </c>
      <c r="J19" s="26">
        <v>133502.29999999999</v>
      </c>
      <c r="K19" s="39">
        <v>148609</v>
      </c>
      <c r="L19" s="39">
        <f>K19*113.5%</f>
        <v>168671.215</v>
      </c>
      <c r="M19" s="39">
        <f>L19*108.61%</f>
        <v>183193.80661150001</v>
      </c>
      <c r="N19" s="39">
        <f t="shared" si="0"/>
        <v>108.61000000000001</v>
      </c>
      <c r="O19" s="39">
        <f>M19*107.8%</f>
        <v>197482.92352719701</v>
      </c>
      <c r="P19" s="39">
        <f t="shared" si="1"/>
        <v>107.8</v>
      </c>
      <c r="Q19" s="39">
        <f>O19*106.4%</f>
        <v>210121.83063293764</v>
      </c>
      <c r="R19" s="39">
        <f t="shared" si="2"/>
        <v>106.4</v>
      </c>
      <c r="S19" s="32" t="s">
        <v>68</v>
      </c>
      <c r="T19" s="3">
        <f t="shared" si="3"/>
        <v>106.4</v>
      </c>
    </row>
    <row r="20" spans="1:20" ht="16.5" hidden="1" customHeight="1" x14ac:dyDescent="0.2">
      <c r="A20" s="19"/>
      <c r="B20" s="20"/>
      <c r="C20" s="17"/>
      <c r="D20" s="10"/>
      <c r="E20" s="10"/>
      <c r="F20" s="13"/>
      <c r="G20" s="10"/>
      <c r="H20" s="10"/>
      <c r="I20" s="10"/>
      <c r="J20" s="10">
        <f>J19*100/I19</f>
        <v>116.07179808202264</v>
      </c>
      <c r="K20" s="10"/>
      <c r="L20" s="10"/>
      <c r="M20" s="10">
        <f>M19*100/J19</f>
        <v>137.22146106209408</v>
      </c>
      <c r="N20" s="39" t="e">
        <f t="shared" si="0"/>
        <v>#DIV/0!</v>
      </c>
      <c r="O20" s="10">
        <f>O19*100/M19</f>
        <v>107.8</v>
      </c>
      <c r="P20" s="39">
        <f t="shared" si="1"/>
        <v>78.559140214386304</v>
      </c>
      <c r="Q20" s="10">
        <f>Q19*100/O19</f>
        <v>106.4</v>
      </c>
      <c r="R20" s="39">
        <f t="shared" si="2"/>
        <v>98.701298701298697</v>
      </c>
      <c r="S20" s="32"/>
      <c r="T20" s="3">
        <f t="shared" si="3"/>
        <v>98.701298701298697</v>
      </c>
    </row>
    <row r="21" spans="1:20" x14ac:dyDescent="0.2">
      <c r="A21" s="19">
        <v>3</v>
      </c>
      <c r="B21" s="44" t="s">
        <v>12</v>
      </c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39"/>
      <c r="O21" s="10"/>
      <c r="P21" s="39"/>
      <c r="Q21" s="10"/>
      <c r="R21" s="39"/>
      <c r="S21" s="33">
        <f>K19*100/J19</f>
        <v>111.31568519793294</v>
      </c>
      <c r="T21" s="3" t="e">
        <f t="shared" si="3"/>
        <v>#DIV/0!</v>
      </c>
    </row>
    <row r="22" spans="1:20" hidden="1" outlineLevel="1" x14ac:dyDescent="0.2">
      <c r="A22" s="19"/>
      <c r="B22" s="20" t="s">
        <v>14</v>
      </c>
      <c r="C22" s="17" t="s">
        <v>15</v>
      </c>
      <c r="D22" s="11">
        <v>2741600000</v>
      </c>
      <c r="E22" s="11">
        <v>2354900000</v>
      </c>
      <c r="F22" s="11"/>
      <c r="G22" s="11">
        <f>'[1]28'!G17</f>
        <v>0</v>
      </c>
      <c r="H22" s="11"/>
      <c r="I22" s="11"/>
      <c r="J22" s="11">
        <f>'[1]28'!I17</f>
        <v>0</v>
      </c>
      <c r="K22" s="11"/>
      <c r="L22" s="11"/>
      <c r="M22" s="11">
        <f>'[1]28'!K17</f>
        <v>0</v>
      </c>
      <c r="N22" s="39" t="e">
        <f t="shared" si="0"/>
        <v>#DIV/0!</v>
      </c>
      <c r="O22" s="11">
        <f>'[1]28'!M17</f>
        <v>0</v>
      </c>
      <c r="P22" s="39" t="e">
        <f t="shared" si="1"/>
        <v>#DIV/0!</v>
      </c>
      <c r="Q22" s="11">
        <f>'[1]28'!O17</f>
        <v>0</v>
      </c>
      <c r="R22" s="39" t="e">
        <f t="shared" si="2"/>
        <v>#DIV/0!</v>
      </c>
      <c r="S22" s="33"/>
      <c r="T22" s="3" t="e">
        <f t="shared" si="3"/>
        <v>#DIV/0!</v>
      </c>
    </row>
    <row r="23" spans="1:20" ht="24" hidden="1" outlineLevel="1" x14ac:dyDescent="0.2">
      <c r="A23" s="19"/>
      <c r="B23" s="20" t="s">
        <v>48</v>
      </c>
      <c r="C23" s="17" t="s">
        <v>47</v>
      </c>
      <c r="D23" s="11"/>
      <c r="E23" s="11">
        <v>18195.099999999999</v>
      </c>
      <c r="F23" s="11"/>
      <c r="G23" s="11">
        <v>18300</v>
      </c>
      <c r="H23" s="11"/>
      <c r="I23" s="11"/>
      <c r="J23" s="11">
        <v>18400</v>
      </c>
      <c r="K23" s="11"/>
      <c r="L23" s="11"/>
      <c r="M23" s="11">
        <v>18500</v>
      </c>
      <c r="N23" s="39" t="e">
        <f t="shared" si="0"/>
        <v>#DIV/0!</v>
      </c>
      <c r="O23" s="11">
        <v>18500</v>
      </c>
      <c r="P23" s="39">
        <f t="shared" si="1"/>
        <v>100</v>
      </c>
      <c r="Q23" s="11">
        <v>18500</v>
      </c>
      <c r="R23" s="39">
        <f t="shared" si="2"/>
        <v>100</v>
      </c>
      <c r="S23" s="33"/>
      <c r="T23" s="3">
        <f t="shared" si="3"/>
        <v>100</v>
      </c>
    </row>
    <row r="24" spans="1:20" hidden="1" outlineLevel="1" x14ac:dyDescent="0.2">
      <c r="A24" s="19"/>
      <c r="B24" s="20" t="s">
        <v>16</v>
      </c>
      <c r="C24" s="17" t="s">
        <v>17</v>
      </c>
      <c r="D24" s="11">
        <v>0.3</v>
      </c>
      <c r="E24" s="11">
        <v>0.3</v>
      </c>
      <c r="F24" s="11"/>
      <c r="G24" s="11">
        <v>0.3</v>
      </c>
      <c r="H24" s="11"/>
      <c r="I24" s="11"/>
      <c r="J24" s="11">
        <v>0.3</v>
      </c>
      <c r="K24" s="11"/>
      <c r="L24" s="11"/>
      <c r="M24" s="11">
        <v>0.3</v>
      </c>
      <c r="N24" s="39" t="e">
        <f t="shared" si="0"/>
        <v>#DIV/0!</v>
      </c>
      <c r="O24" s="11">
        <v>0.3</v>
      </c>
      <c r="P24" s="39">
        <f t="shared" si="1"/>
        <v>100</v>
      </c>
      <c r="Q24" s="11">
        <v>0.3</v>
      </c>
      <c r="R24" s="39">
        <f t="shared" si="2"/>
        <v>100</v>
      </c>
      <c r="S24" s="33"/>
      <c r="T24" s="3">
        <f t="shared" si="3"/>
        <v>100</v>
      </c>
    </row>
    <row r="25" spans="1:20" hidden="1" outlineLevel="1" x14ac:dyDescent="0.2">
      <c r="A25" s="19"/>
      <c r="B25" s="20" t="s">
        <v>18</v>
      </c>
      <c r="C25" s="17" t="s">
        <v>17</v>
      </c>
      <c r="D25" s="11">
        <v>0.66</v>
      </c>
      <c r="E25" s="11">
        <v>0.66</v>
      </c>
      <c r="F25" s="11"/>
      <c r="G25" s="11">
        <v>0.66</v>
      </c>
      <c r="H25" s="11"/>
      <c r="I25" s="11"/>
      <c r="J25" s="11">
        <v>0.66</v>
      </c>
      <c r="K25" s="11"/>
      <c r="L25" s="11"/>
      <c r="M25" s="11">
        <v>0.66</v>
      </c>
      <c r="N25" s="39" t="e">
        <f t="shared" si="0"/>
        <v>#DIV/0!</v>
      </c>
      <c r="O25" s="11">
        <v>0.66</v>
      </c>
      <c r="P25" s="39">
        <f t="shared" si="1"/>
        <v>100</v>
      </c>
      <c r="Q25" s="11">
        <v>0.66</v>
      </c>
      <c r="R25" s="39">
        <f t="shared" si="2"/>
        <v>100</v>
      </c>
      <c r="S25" s="33"/>
      <c r="T25" s="3">
        <f t="shared" si="3"/>
        <v>100</v>
      </c>
    </row>
    <row r="26" spans="1:20" hidden="1" outlineLevel="1" x14ac:dyDescent="0.2">
      <c r="A26" s="19"/>
      <c r="B26" s="20" t="s">
        <v>20</v>
      </c>
      <c r="C26" s="17" t="s">
        <v>19</v>
      </c>
      <c r="D26" s="11">
        <v>3.1</v>
      </c>
      <c r="E26" s="11">
        <v>42.1</v>
      </c>
      <c r="F26" s="11">
        <v>25</v>
      </c>
      <c r="G26" s="11">
        <f>F26+F26*0.7%</f>
        <v>25.175000000000001</v>
      </c>
      <c r="H26" s="11">
        <v>44.7</v>
      </c>
      <c r="I26" s="11">
        <v>102.82</v>
      </c>
      <c r="J26" s="26">
        <v>65.680000000000007</v>
      </c>
      <c r="K26" s="39">
        <f>J26</f>
        <v>65.680000000000007</v>
      </c>
      <c r="L26" s="39"/>
      <c r="M26" s="39">
        <f>K26</f>
        <v>65.680000000000007</v>
      </c>
      <c r="N26" s="39" t="e">
        <f t="shared" si="0"/>
        <v>#DIV/0!</v>
      </c>
      <c r="O26" s="39">
        <f>M26</f>
        <v>65.680000000000007</v>
      </c>
      <c r="P26" s="39">
        <f t="shared" si="1"/>
        <v>100</v>
      </c>
      <c r="Q26" s="39">
        <f>O26</f>
        <v>65.680000000000007</v>
      </c>
      <c r="R26" s="39">
        <f t="shared" si="2"/>
        <v>100</v>
      </c>
      <c r="S26" s="33"/>
      <c r="T26" s="3">
        <f t="shared" si="3"/>
        <v>100</v>
      </c>
    </row>
    <row r="27" spans="1:20" ht="18" customHeight="1" collapsed="1" x14ac:dyDescent="0.2">
      <c r="A27" s="19" t="s">
        <v>86</v>
      </c>
      <c r="B27" s="20" t="s">
        <v>69</v>
      </c>
      <c r="C27" s="17" t="s">
        <v>21</v>
      </c>
      <c r="D27" s="11">
        <v>209.4</v>
      </c>
      <c r="E27" s="11">
        <v>207.97</v>
      </c>
      <c r="F27" s="11">
        <v>197</v>
      </c>
      <c r="G27" s="11">
        <v>200.18</v>
      </c>
      <c r="H27" s="11">
        <v>190.9</v>
      </c>
      <c r="I27" s="11">
        <v>209.52600000000001</v>
      </c>
      <c r="J27" s="26">
        <v>202.11</v>
      </c>
      <c r="K27" s="39">
        <v>223.92</v>
      </c>
      <c r="L27" s="39">
        <v>223.92</v>
      </c>
      <c r="M27" s="39">
        <f>K27</f>
        <v>223.92</v>
      </c>
      <c r="N27" s="39">
        <f t="shared" si="0"/>
        <v>100</v>
      </c>
      <c r="O27" s="39">
        <f>M27</f>
        <v>223.92</v>
      </c>
      <c r="P27" s="39">
        <f t="shared" si="1"/>
        <v>100</v>
      </c>
      <c r="Q27" s="39">
        <f>O27</f>
        <v>223.92</v>
      </c>
      <c r="R27" s="39">
        <f t="shared" si="2"/>
        <v>100</v>
      </c>
      <c r="S27" s="33"/>
      <c r="T27" s="3">
        <f t="shared" si="3"/>
        <v>100</v>
      </c>
    </row>
    <row r="28" spans="1:20" ht="20.25" customHeight="1" x14ac:dyDescent="0.2">
      <c r="A28" s="19" t="s">
        <v>87</v>
      </c>
      <c r="B28" s="21" t="s">
        <v>70</v>
      </c>
      <c r="C28" s="22" t="s">
        <v>13</v>
      </c>
      <c r="D28" s="11">
        <v>43.48</v>
      </c>
      <c r="E28" s="11">
        <f>(D28/D9)*E9</f>
        <v>43.505807071592088</v>
      </c>
      <c r="F28" s="11">
        <v>45.83</v>
      </c>
      <c r="G28" s="11">
        <v>45</v>
      </c>
      <c r="H28" s="11">
        <v>44.76</v>
      </c>
      <c r="I28" s="11">
        <v>52.38</v>
      </c>
      <c r="J28" s="26">
        <v>50.06</v>
      </c>
      <c r="K28" s="39">
        <v>40.68</v>
      </c>
      <c r="L28" s="39">
        <f>L9*0.12%</f>
        <v>41.059199999999997</v>
      </c>
      <c r="M28" s="39">
        <f>M9*0.12%</f>
        <v>41.180399999999999</v>
      </c>
      <c r="N28" s="39">
        <f t="shared" si="0"/>
        <v>100.2951835398644</v>
      </c>
      <c r="O28" s="39">
        <f>O9*0.12%</f>
        <v>41.248799999999996</v>
      </c>
      <c r="P28" s="39">
        <f t="shared" si="1"/>
        <v>100.16609843517789</v>
      </c>
      <c r="Q28" s="39">
        <f>Q9*0.12%</f>
        <v>41.248799999999996</v>
      </c>
      <c r="R28" s="39">
        <f t="shared" si="2"/>
        <v>99.999999999999986</v>
      </c>
      <c r="S28" s="33" t="s">
        <v>71</v>
      </c>
      <c r="T28" s="3">
        <f t="shared" si="3"/>
        <v>99.999999999999986</v>
      </c>
    </row>
    <row r="29" spans="1:20" hidden="1" outlineLevel="1" x14ac:dyDescent="0.2">
      <c r="A29" s="19"/>
      <c r="B29" s="21" t="s">
        <v>22</v>
      </c>
      <c r="C29" s="22" t="s">
        <v>13</v>
      </c>
      <c r="D29" s="11">
        <v>68.260000000000005</v>
      </c>
      <c r="E29" s="11">
        <f>(D29/D9)*E9</f>
        <v>68.300514965659531</v>
      </c>
      <c r="F29" s="11">
        <v>72.349999999999994</v>
      </c>
      <c r="G29" s="11">
        <v>116.67</v>
      </c>
      <c r="H29" s="11">
        <v>88.01</v>
      </c>
      <c r="I29" s="11">
        <v>115.4</v>
      </c>
      <c r="J29" s="26">
        <v>122.6</v>
      </c>
      <c r="K29" s="39">
        <v>122.8</v>
      </c>
      <c r="L29" s="39"/>
      <c r="M29" s="39">
        <v>123</v>
      </c>
      <c r="N29" s="39" t="e">
        <f t="shared" si="0"/>
        <v>#DIV/0!</v>
      </c>
      <c r="O29" s="39">
        <v>123</v>
      </c>
      <c r="P29" s="39">
        <f t="shared" si="1"/>
        <v>100</v>
      </c>
      <c r="Q29" s="39">
        <v>123</v>
      </c>
      <c r="R29" s="39">
        <f t="shared" si="2"/>
        <v>100</v>
      </c>
      <c r="S29" s="33"/>
      <c r="T29" s="3">
        <f t="shared" si="3"/>
        <v>100</v>
      </c>
    </row>
    <row r="30" spans="1:20" hidden="1" outlineLevel="1" x14ac:dyDescent="0.2">
      <c r="A30" s="19"/>
      <c r="B30" s="21" t="s">
        <v>49</v>
      </c>
      <c r="C30" s="22" t="s">
        <v>13</v>
      </c>
      <c r="D30" s="11">
        <v>76</v>
      </c>
      <c r="E30" s="11">
        <f>(D30/D9)*E9</f>
        <v>76.045108956784716</v>
      </c>
      <c r="F30" s="11">
        <v>461.54</v>
      </c>
      <c r="G30" s="11">
        <v>124.01</v>
      </c>
      <c r="H30" s="11">
        <v>111.2</v>
      </c>
      <c r="I30" s="11">
        <v>113.4</v>
      </c>
      <c r="J30" s="26">
        <v>109.7</v>
      </c>
      <c r="K30" s="39">
        <v>109.9</v>
      </c>
      <c r="L30" s="39"/>
      <c r="M30" s="39">
        <v>110</v>
      </c>
      <c r="N30" s="39" t="e">
        <f t="shared" si="0"/>
        <v>#DIV/0!</v>
      </c>
      <c r="O30" s="39">
        <v>110</v>
      </c>
      <c r="P30" s="39">
        <f t="shared" si="1"/>
        <v>100</v>
      </c>
      <c r="Q30" s="39">
        <v>110</v>
      </c>
      <c r="R30" s="39">
        <f t="shared" si="2"/>
        <v>100</v>
      </c>
      <c r="S30" s="33"/>
      <c r="T30" s="3">
        <f t="shared" si="3"/>
        <v>100</v>
      </c>
    </row>
    <row r="31" spans="1:20" collapsed="1" x14ac:dyDescent="0.2">
      <c r="A31" s="19" t="s">
        <v>88</v>
      </c>
      <c r="B31" s="21" t="s">
        <v>23</v>
      </c>
      <c r="C31" s="22" t="s">
        <v>13</v>
      </c>
      <c r="D31" s="11">
        <v>1877.33</v>
      </c>
      <c r="E31" s="11">
        <v>1877.33</v>
      </c>
      <c r="F31" s="11">
        <v>1922.04</v>
      </c>
      <c r="G31" s="11">
        <f>(F31/F9)*G9</f>
        <v>1922.4744820570784</v>
      </c>
      <c r="H31" s="11">
        <v>1838.78</v>
      </c>
      <c r="I31" s="11">
        <v>1774.64</v>
      </c>
      <c r="J31" s="26">
        <v>1391</v>
      </c>
      <c r="K31" s="39">
        <v>968.97</v>
      </c>
      <c r="L31" s="39">
        <f>L9*2.84%</f>
        <v>971.73439999999994</v>
      </c>
      <c r="M31" s="39">
        <f>M9*2.84%</f>
        <v>974.60279999999989</v>
      </c>
      <c r="N31" s="39">
        <f t="shared" si="0"/>
        <v>100.29518353986438</v>
      </c>
      <c r="O31" s="39">
        <f>O9*2.84%</f>
        <v>976.22159999999997</v>
      </c>
      <c r="P31" s="39">
        <f t="shared" si="1"/>
        <v>100.16609843517791</v>
      </c>
      <c r="Q31" s="39">
        <f>Q9*2.84%</f>
        <v>976.22159999999997</v>
      </c>
      <c r="R31" s="39">
        <f t="shared" si="2"/>
        <v>100</v>
      </c>
      <c r="S31" s="33"/>
      <c r="T31" s="3">
        <f t="shared" si="3"/>
        <v>100</v>
      </c>
    </row>
    <row r="32" spans="1:20" hidden="1" outlineLevel="1" x14ac:dyDescent="0.2">
      <c r="A32" s="19">
        <v>11</v>
      </c>
      <c r="B32" s="20" t="s">
        <v>24</v>
      </c>
      <c r="C32" s="17"/>
      <c r="D32" s="10"/>
      <c r="E32" s="10"/>
      <c r="F32" s="10"/>
      <c r="G32" s="10"/>
      <c r="H32" s="10"/>
      <c r="I32" s="10"/>
      <c r="J32" s="26"/>
      <c r="K32" s="39"/>
      <c r="L32" s="39"/>
      <c r="M32" s="39"/>
      <c r="N32" s="39" t="e">
        <f t="shared" si="0"/>
        <v>#DIV/0!</v>
      </c>
      <c r="O32" s="39"/>
      <c r="P32" s="39" t="e">
        <f t="shared" si="1"/>
        <v>#DIV/0!</v>
      </c>
      <c r="Q32" s="39"/>
      <c r="R32" s="39" t="e">
        <f t="shared" si="2"/>
        <v>#DIV/0!</v>
      </c>
      <c r="S32" s="33"/>
      <c r="T32" s="3" t="e">
        <f t="shared" si="3"/>
        <v>#DIV/0!</v>
      </c>
    </row>
    <row r="33" spans="1:20" ht="15" hidden="1" customHeight="1" outlineLevel="1" x14ac:dyDescent="0.2">
      <c r="A33" s="19"/>
      <c r="B33" s="20" t="s">
        <v>25</v>
      </c>
      <c r="C33" s="17" t="s">
        <v>26</v>
      </c>
      <c r="D33" s="12">
        <v>5</v>
      </c>
      <c r="E33" s="12">
        <v>5</v>
      </c>
      <c r="F33" s="12">
        <v>8</v>
      </c>
      <c r="G33" s="12">
        <v>5</v>
      </c>
      <c r="H33" s="12">
        <v>8</v>
      </c>
      <c r="I33" s="12">
        <v>11</v>
      </c>
      <c r="J33" s="27">
        <v>11</v>
      </c>
      <c r="K33" s="40"/>
      <c r="L33" s="40"/>
      <c r="M33" s="40">
        <v>11</v>
      </c>
      <c r="N33" s="39" t="e">
        <f t="shared" si="0"/>
        <v>#DIV/0!</v>
      </c>
      <c r="O33" s="40">
        <v>11</v>
      </c>
      <c r="P33" s="39">
        <f t="shared" si="1"/>
        <v>100</v>
      </c>
      <c r="Q33" s="40">
        <v>11</v>
      </c>
      <c r="R33" s="39">
        <f t="shared" si="2"/>
        <v>100</v>
      </c>
      <c r="S33" s="33"/>
      <c r="T33" s="3">
        <f t="shared" si="3"/>
        <v>100</v>
      </c>
    </row>
    <row r="34" spans="1:20" ht="15" hidden="1" customHeight="1" outlineLevel="1" x14ac:dyDescent="0.2">
      <c r="A34" s="19"/>
      <c r="B34" s="20" t="s">
        <v>27</v>
      </c>
      <c r="C34" s="17" t="s">
        <v>26</v>
      </c>
      <c r="D34" s="12">
        <v>2</v>
      </c>
      <c r="E34" s="12">
        <v>2</v>
      </c>
      <c r="F34" s="12">
        <v>2</v>
      </c>
      <c r="G34" s="12">
        <v>3</v>
      </c>
      <c r="H34" s="12">
        <v>6</v>
      </c>
      <c r="I34" s="12">
        <v>6</v>
      </c>
      <c r="J34" s="27">
        <v>6</v>
      </c>
      <c r="K34" s="40"/>
      <c r="L34" s="40"/>
      <c r="M34" s="40">
        <v>6</v>
      </c>
      <c r="N34" s="39" t="e">
        <f t="shared" si="0"/>
        <v>#DIV/0!</v>
      </c>
      <c r="O34" s="40">
        <v>6</v>
      </c>
      <c r="P34" s="39">
        <f t="shared" si="1"/>
        <v>100</v>
      </c>
      <c r="Q34" s="40">
        <v>6</v>
      </c>
      <c r="R34" s="39">
        <f t="shared" si="2"/>
        <v>100</v>
      </c>
      <c r="S34" s="33"/>
      <c r="T34" s="3">
        <f t="shared" si="3"/>
        <v>100</v>
      </c>
    </row>
    <row r="35" spans="1:20" ht="15" hidden="1" customHeight="1" outlineLevel="1" x14ac:dyDescent="0.2">
      <c r="A35" s="19"/>
      <c r="B35" s="20" t="s">
        <v>28</v>
      </c>
      <c r="C35" s="17" t="s">
        <v>26</v>
      </c>
      <c r="D35" s="12">
        <v>18</v>
      </c>
      <c r="E35" s="12">
        <v>28</v>
      </c>
      <c r="F35" s="12">
        <v>27</v>
      </c>
      <c r="G35" s="12">
        <v>15</v>
      </c>
      <c r="H35" s="12">
        <v>25</v>
      </c>
      <c r="I35" s="12">
        <v>25</v>
      </c>
      <c r="J35" s="27">
        <v>25</v>
      </c>
      <c r="K35" s="40"/>
      <c r="L35" s="40"/>
      <c r="M35" s="40">
        <v>25</v>
      </c>
      <c r="N35" s="39" t="e">
        <f t="shared" si="0"/>
        <v>#DIV/0!</v>
      </c>
      <c r="O35" s="40">
        <v>25</v>
      </c>
      <c r="P35" s="39">
        <f t="shared" si="1"/>
        <v>100</v>
      </c>
      <c r="Q35" s="40">
        <v>25</v>
      </c>
      <c r="R35" s="39">
        <f t="shared" si="2"/>
        <v>100</v>
      </c>
      <c r="S35" s="33"/>
      <c r="T35" s="3">
        <f t="shared" si="3"/>
        <v>100</v>
      </c>
    </row>
    <row r="36" spans="1:20" ht="15" hidden="1" customHeight="1" outlineLevel="1" x14ac:dyDescent="0.2">
      <c r="A36" s="19"/>
      <c r="B36" s="20" t="s">
        <v>29</v>
      </c>
      <c r="C36" s="17" t="s">
        <v>26</v>
      </c>
      <c r="D36" s="12">
        <v>55</v>
      </c>
      <c r="E36" s="12">
        <v>55</v>
      </c>
      <c r="F36" s="12">
        <v>147</v>
      </c>
      <c r="G36" s="12">
        <v>55</v>
      </c>
      <c r="H36" s="12">
        <f>78+68+63</f>
        <v>209</v>
      </c>
      <c r="I36" s="12">
        <v>209</v>
      </c>
      <c r="J36" s="27">
        <v>209</v>
      </c>
      <c r="K36" s="40"/>
      <c r="L36" s="40"/>
      <c r="M36" s="40">
        <v>209</v>
      </c>
      <c r="N36" s="39" t="e">
        <f t="shared" si="0"/>
        <v>#DIV/0!</v>
      </c>
      <c r="O36" s="40">
        <v>209</v>
      </c>
      <c r="P36" s="39">
        <f t="shared" si="1"/>
        <v>100</v>
      </c>
      <c r="Q36" s="40">
        <v>209</v>
      </c>
      <c r="R36" s="39">
        <f t="shared" si="2"/>
        <v>100</v>
      </c>
      <c r="S36" s="33"/>
      <c r="T36" s="3">
        <f t="shared" si="3"/>
        <v>100</v>
      </c>
    </row>
    <row r="37" spans="1:20" ht="0.75" customHeight="1" collapsed="1" x14ac:dyDescent="0.2">
      <c r="A37" s="19">
        <v>12</v>
      </c>
      <c r="B37" s="20" t="s">
        <v>30</v>
      </c>
      <c r="C37" s="17"/>
      <c r="D37" s="10"/>
      <c r="E37" s="10"/>
      <c r="F37" s="10"/>
      <c r="G37" s="10"/>
      <c r="H37" s="10"/>
      <c r="I37" s="10"/>
      <c r="J37" s="26"/>
      <c r="K37" s="39"/>
      <c r="L37" s="39"/>
      <c r="M37" s="39"/>
      <c r="N37" s="39" t="e">
        <f t="shared" si="0"/>
        <v>#DIV/0!</v>
      </c>
      <c r="O37" s="39"/>
      <c r="P37" s="39" t="e">
        <f t="shared" si="1"/>
        <v>#DIV/0!</v>
      </c>
      <c r="Q37" s="39"/>
      <c r="R37" s="39" t="e">
        <f t="shared" si="2"/>
        <v>#DIV/0!</v>
      </c>
      <c r="S37" s="33"/>
      <c r="T37" s="3" t="e">
        <f t="shared" si="3"/>
        <v>#DIV/0!</v>
      </c>
    </row>
    <row r="38" spans="1:20" hidden="1" x14ac:dyDescent="0.2">
      <c r="A38" s="19"/>
      <c r="B38" s="20" t="s">
        <v>31</v>
      </c>
      <c r="C38" s="17" t="s">
        <v>13</v>
      </c>
      <c r="D38" s="11">
        <v>2.5950000000000002</v>
      </c>
      <c r="E38" s="11">
        <f>(D38/D9)*E9</f>
        <v>2.5965402334586365</v>
      </c>
      <c r="F38" s="11"/>
      <c r="G38" s="11">
        <v>4.43</v>
      </c>
      <c r="H38" s="11"/>
      <c r="I38" s="11"/>
      <c r="J38" s="11"/>
      <c r="K38" s="11"/>
      <c r="L38" s="11"/>
      <c r="M38" s="11"/>
      <c r="N38" s="39" t="e">
        <f t="shared" si="0"/>
        <v>#DIV/0!</v>
      </c>
      <c r="O38" s="11"/>
      <c r="P38" s="39" t="e">
        <f t="shared" si="1"/>
        <v>#DIV/0!</v>
      </c>
      <c r="Q38" s="11"/>
      <c r="R38" s="39" t="e">
        <f t="shared" si="2"/>
        <v>#DIV/0!</v>
      </c>
      <c r="S38" s="33"/>
      <c r="T38" s="3" t="e">
        <f t="shared" si="3"/>
        <v>#DIV/0!</v>
      </c>
    </row>
    <row r="39" spans="1:20" hidden="1" x14ac:dyDescent="0.2">
      <c r="A39" s="19"/>
      <c r="B39" s="20" t="s">
        <v>32</v>
      </c>
      <c r="C39" s="17" t="s">
        <v>13</v>
      </c>
      <c r="D39" s="11">
        <v>6.8</v>
      </c>
      <c r="E39" s="11">
        <f>(D39/D11)*E11</f>
        <v>6.8080429442270951</v>
      </c>
      <c r="F39" s="11"/>
      <c r="G39" s="11">
        <v>9.5</v>
      </c>
      <c r="H39" s="11"/>
      <c r="I39" s="11"/>
      <c r="J39" s="11"/>
      <c r="K39" s="11"/>
      <c r="L39" s="11"/>
      <c r="M39" s="11"/>
      <c r="N39" s="39" t="e">
        <f t="shared" si="0"/>
        <v>#DIV/0!</v>
      </c>
      <c r="O39" s="11"/>
      <c r="P39" s="39" t="e">
        <f t="shared" si="1"/>
        <v>#DIV/0!</v>
      </c>
      <c r="Q39" s="11"/>
      <c r="R39" s="39" t="e">
        <f t="shared" si="2"/>
        <v>#DIV/0!</v>
      </c>
      <c r="S39" s="33"/>
      <c r="T39" s="3" t="e">
        <f t="shared" si="3"/>
        <v>#DIV/0!</v>
      </c>
    </row>
    <row r="40" spans="1:20" hidden="1" x14ac:dyDescent="0.2">
      <c r="A40" s="19"/>
      <c r="B40" s="20" t="s">
        <v>33</v>
      </c>
      <c r="C40" s="17" t="s">
        <v>34</v>
      </c>
      <c r="D40" s="11">
        <v>18.8</v>
      </c>
      <c r="E40" s="11">
        <f>(D40/D12)*E12</f>
        <v>18.716494889818449</v>
      </c>
      <c r="F40" s="11"/>
      <c r="G40" s="11">
        <v>21.1</v>
      </c>
      <c r="H40" s="11"/>
      <c r="I40" s="11"/>
      <c r="J40" s="11"/>
      <c r="K40" s="11"/>
      <c r="L40" s="11"/>
      <c r="M40" s="11"/>
      <c r="N40" s="39" t="e">
        <f t="shared" si="0"/>
        <v>#DIV/0!</v>
      </c>
      <c r="O40" s="11"/>
      <c r="P40" s="39" t="e">
        <f t="shared" si="1"/>
        <v>#DIV/0!</v>
      </c>
      <c r="Q40" s="11"/>
      <c r="R40" s="39" t="e">
        <f t="shared" si="2"/>
        <v>#DIV/0!</v>
      </c>
      <c r="S40" s="33"/>
      <c r="T40" s="3" t="e">
        <f t="shared" si="3"/>
        <v>#DIV/0!</v>
      </c>
    </row>
    <row r="41" spans="1:20" hidden="1" x14ac:dyDescent="0.2">
      <c r="A41" s="19"/>
      <c r="B41" s="20" t="s">
        <v>35</v>
      </c>
      <c r="C41" s="17" t="s">
        <v>13</v>
      </c>
      <c r="D41" s="11">
        <f>27.31+822.33</f>
        <v>849.64</v>
      </c>
      <c r="E41" s="11">
        <f>14.7+1296.24</f>
        <v>1310.94</v>
      </c>
      <c r="F41" s="11"/>
      <c r="G41" s="11">
        <v>818.51</v>
      </c>
      <c r="H41" s="11"/>
      <c r="I41" s="11"/>
      <c r="J41" s="11"/>
      <c r="K41" s="11"/>
      <c r="L41" s="11"/>
      <c r="M41" s="11"/>
      <c r="N41" s="39" t="e">
        <f t="shared" si="0"/>
        <v>#DIV/0!</v>
      </c>
      <c r="O41" s="11"/>
      <c r="P41" s="39" t="e">
        <f t="shared" si="1"/>
        <v>#DIV/0!</v>
      </c>
      <c r="Q41" s="11"/>
      <c r="R41" s="39" t="e">
        <f t="shared" si="2"/>
        <v>#DIV/0!</v>
      </c>
      <c r="S41" s="33"/>
      <c r="T41" s="3" t="e">
        <f t="shared" si="3"/>
        <v>#DIV/0!</v>
      </c>
    </row>
    <row r="42" spans="1:20" hidden="1" x14ac:dyDescent="0.2">
      <c r="A42" s="19"/>
      <c r="B42" s="20" t="s">
        <v>36</v>
      </c>
      <c r="C42" s="17" t="s">
        <v>13</v>
      </c>
      <c r="D42" s="11">
        <f>13.98+192.37</f>
        <v>206.35</v>
      </c>
      <c r="E42" s="11">
        <f>11+324.92</f>
        <v>335.92</v>
      </c>
      <c r="F42" s="11"/>
      <c r="G42" s="11">
        <v>133.16999999999999</v>
      </c>
      <c r="H42" s="11"/>
      <c r="I42" s="11"/>
      <c r="J42" s="11"/>
      <c r="K42" s="11"/>
      <c r="L42" s="11"/>
      <c r="M42" s="11"/>
      <c r="N42" s="39" t="e">
        <f t="shared" si="0"/>
        <v>#DIV/0!</v>
      </c>
      <c r="O42" s="11"/>
      <c r="P42" s="39" t="e">
        <f t="shared" si="1"/>
        <v>#DIV/0!</v>
      </c>
      <c r="Q42" s="11"/>
      <c r="R42" s="39" t="e">
        <f t="shared" si="2"/>
        <v>#DIV/0!</v>
      </c>
      <c r="S42" s="33"/>
      <c r="T42" s="3" t="e">
        <f t="shared" si="3"/>
        <v>#DIV/0!</v>
      </c>
    </row>
    <row r="43" spans="1:20" x14ac:dyDescent="0.2">
      <c r="A43" s="19">
        <v>4</v>
      </c>
      <c r="B43" s="44" t="s">
        <v>89</v>
      </c>
      <c r="C43" s="17"/>
      <c r="D43" s="11"/>
      <c r="E43" s="11"/>
      <c r="F43" s="11"/>
      <c r="G43" s="11"/>
      <c r="H43" s="11"/>
      <c r="I43" s="11"/>
      <c r="J43" s="46"/>
      <c r="K43" s="11"/>
      <c r="L43" s="11"/>
      <c r="M43" s="11"/>
      <c r="N43" s="39"/>
      <c r="O43" s="11"/>
      <c r="P43" s="39"/>
      <c r="Q43" s="11"/>
      <c r="R43" s="39"/>
      <c r="S43" s="33"/>
    </row>
    <row r="44" spans="1:20" ht="38.25" customHeight="1" x14ac:dyDescent="0.2">
      <c r="A44" s="19" t="s">
        <v>90</v>
      </c>
      <c r="B44" s="20" t="s">
        <v>74</v>
      </c>
      <c r="C44" s="17" t="s">
        <v>37</v>
      </c>
      <c r="D44" s="10">
        <v>217678230.30000001</v>
      </c>
      <c r="E44" s="10">
        <v>192279601.19999999</v>
      </c>
      <c r="F44" s="10">
        <f>133694990.8+3283557.6</f>
        <v>136978548.40000001</v>
      </c>
      <c r="G44" s="10">
        <f>F44*104%</f>
        <v>142457690.33600003</v>
      </c>
      <c r="H44" s="10">
        <f>139239453.6+(3283557.6*104%)</f>
        <v>142654353.50400001</v>
      </c>
      <c r="I44" s="10">
        <v>249152892.80000001</v>
      </c>
      <c r="J44" s="37">
        <f>265054645.8+3125171.4</f>
        <v>268179817.20000002</v>
      </c>
      <c r="K44" s="41">
        <f>314324460.8+5501823.9</f>
        <v>319826284.69999999</v>
      </c>
      <c r="L44" s="41">
        <f>K44*106.8%</f>
        <v>341574472.0596</v>
      </c>
      <c r="M44" s="41">
        <f>L44*105.1%</f>
        <v>358994770.13463956</v>
      </c>
      <c r="N44" s="39">
        <f t="shared" si="0"/>
        <v>105.1</v>
      </c>
      <c r="O44" s="41">
        <f>M44*104%</f>
        <v>373354560.94002515</v>
      </c>
      <c r="P44" s="39">
        <f t="shared" si="1"/>
        <v>104.00000000000001</v>
      </c>
      <c r="Q44" s="41">
        <f>O44*104%</f>
        <v>388288743.37762618</v>
      </c>
      <c r="R44" s="39">
        <f t="shared" si="2"/>
        <v>104.00000000000001</v>
      </c>
      <c r="S44" s="33" t="s">
        <v>72</v>
      </c>
    </row>
    <row r="45" spans="1:20" x14ac:dyDescent="0.2">
      <c r="A45" s="19" t="s">
        <v>91</v>
      </c>
      <c r="B45" s="20" t="s">
        <v>52</v>
      </c>
      <c r="C45" s="17"/>
      <c r="D45" s="10">
        <f>(D44*100)/177049700</f>
        <v>122.94752846234701</v>
      </c>
      <c r="E45" s="10">
        <f>E44*100/D44</f>
        <v>88.332030692735742</v>
      </c>
      <c r="F45" s="10">
        <v>71.2</v>
      </c>
      <c r="G45" s="10">
        <f>G44*100/F44</f>
        <v>104.00000000000001</v>
      </c>
      <c r="H45" s="10">
        <f>H44*100/F44</f>
        <v>104.14357223835204</v>
      </c>
      <c r="I45" s="10">
        <f>I44*100/139239453.6</f>
        <v>178.93843042199356</v>
      </c>
      <c r="J45" s="28"/>
      <c r="K45" s="41">
        <f>K44*100/J44</f>
        <v>119.25814852110354</v>
      </c>
      <c r="L45" s="41">
        <f>L44*100/K44</f>
        <v>106.8</v>
      </c>
      <c r="M45" s="41">
        <f>M44*100/L44</f>
        <v>105.1</v>
      </c>
      <c r="N45" s="39">
        <f t="shared" si="0"/>
        <v>98.408239700374537</v>
      </c>
      <c r="O45" s="41">
        <f>O44*100/M44</f>
        <v>104.00000000000001</v>
      </c>
      <c r="P45" s="39">
        <f t="shared" si="1"/>
        <v>98.953377735490037</v>
      </c>
      <c r="Q45" s="41">
        <f>Q44*100/O44</f>
        <v>104.00000000000001</v>
      </c>
      <c r="R45" s="39">
        <f t="shared" si="2"/>
        <v>100</v>
      </c>
      <c r="S45" s="33"/>
    </row>
    <row r="46" spans="1:20" hidden="1" x14ac:dyDescent="0.2">
      <c r="A46" s="19">
        <v>14</v>
      </c>
      <c r="B46" s="20" t="s">
        <v>39</v>
      </c>
      <c r="C46" s="17" t="s">
        <v>37</v>
      </c>
      <c r="D46" s="9">
        <v>6046250</v>
      </c>
      <c r="E46" s="9">
        <f>(D46/D9)*E9*104%</f>
        <v>6291832.2319889208</v>
      </c>
      <c r="F46" s="9"/>
      <c r="G46" s="9">
        <f>(E46/E9)*G9*103.6%</f>
        <v>6517601.698561375</v>
      </c>
      <c r="H46" s="9"/>
      <c r="I46" s="9"/>
      <c r="J46" s="28">
        <f>(G46/G9)*J9*103%</f>
        <v>6450468.4493576782</v>
      </c>
      <c r="K46" s="41"/>
      <c r="L46" s="41"/>
      <c r="M46" s="41">
        <f>(J46/J9)*M9*102.7%</f>
        <v>6683840.4543138184</v>
      </c>
      <c r="N46" s="39" t="e">
        <f t="shared" si="0"/>
        <v>#DIV/0!</v>
      </c>
      <c r="O46" s="41">
        <f>(M46/M9)*O9*102.7%</f>
        <v>6875705.6483536139</v>
      </c>
      <c r="P46" s="39">
        <f t="shared" si="1"/>
        <v>102.87058309292772</v>
      </c>
      <c r="Q46" s="41">
        <f>(O46/O9)*Q9*102.7%</f>
        <v>7061349.700859162</v>
      </c>
      <c r="R46" s="39">
        <f t="shared" si="2"/>
        <v>102.7</v>
      </c>
      <c r="S46" s="33"/>
    </row>
    <row r="47" spans="1:20" hidden="1" x14ac:dyDescent="0.2">
      <c r="A47" s="19"/>
      <c r="B47" s="20" t="s">
        <v>52</v>
      </c>
      <c r="C47" s="17" t="s">
        <v>37</v>
      </c>
      <c r="D47" s="9"/>
      <c r="E47" s="11">
        <f>E46*100/D46</f>
        <v>104.06172804612646</v>
      </c>
      <c r="F47" s="11"/>
      <c r="G47" s="11">
        <f>G46*100/E46</f>
        <v>103.58829444664144</v>
      </c>
      <c r="H47" s="11"/>
      <c r="I47" s="11"/>
      <c r="J47" s="28">
        <f>J46*100/G46</f>
        <v>98.969970054805344</v>
      </c>
      <c r="K47" s="41"/>
      <c r="L47" s="41"/>
      <c r="M47" s="41">
        <f>M46*100/J46</f>
        <v>103.61790785875991</v>
      </c>
      <c r="N47" s="39" t="e">
        <f t="shared" si="0"/>
        <v>#DIV/0!</v>
      </c>
      <c r="O47" s="41">
        <f>O46*100/M46</f>
        <v>102.87058309292772</v>
      </c>
      <c r="P47" s="39">
        <f t="shared" si="1"/>
        <v>99.278768717420107</v>
      </c>
      <c r="Q47" s="41">
        <f>Q46*100/O46</f>
        <v>102.7</v>
      </c>
      <c r="R47" s="39">
        <f t="shared" si="2"/>
        <v>99.834176994239826</v>
      </c>
      <c r="S47" s="33"/>
    </row>
    <row r="48" spans="1:20" hidden="1" x14ac:dyDescent="0.2">
      <c r="A48" s="19">
        <v>16</v>
      </c>
      <c r="B48" s="20" t="s">
        <v>40</v>
      </c>
      <c r="C48" s="17" t="s">
        <v>37</v>
      </c>
      <c r="D48" s="9">
        <v>5850611.5899999999</v>
      </c>
      <c r="E48" s="9">
        <v>6119739.7231400004</v>
      </c>
      <c r="F48" s="9"/>
      <c r="G48" s="9">
        <f>E48*104.8%</f>
        <v>6413487.2298507206</v>
      </c>
      <c r="H48" s="9"/>
      <c r="I48" s="9"/>
      <c r="J48" s="28">
        <f>G48*104.4%</f>
        <v>6695680.667964153</v>
      </c>
      <c r="K48" s="41"/>
      <c r="L48" s="41"/>
      <c r="M48" s="41">
        <f>J48*104%</f>
        <v>6963507.8946827194</v>
      </c>
      <c r="N48" s="39" t="e">
        <f t="shared" si="0"/>
        <v>#DIV/0!</v>
      </c>
      <c r="O48" s="41">
        <f>M48*104%</f>
        <v>7242048.2104700282</v>
      </c>
      <c r="P48" s="39">
        <f t="shared" si="1"/>
        <v>104</v>
      </c>
      <c r="Q48" s="41">
        <f>O48*104%</f>
        <v>7531730.1388888294</v>
      </c>
      <c r="R48" s="39">
        <f t="shared" si="2"/>
        <v>104.00000000000001</v>
      </c>
      <c r="S48" s="33"/>
    </row>
    <row r="49" spans="1:19" hidden="1" x14ac:dyDescent="0.2">
      <c r="A49" s="19"/>
      <c r="B49" s="20" t="s">
        <v>38</v>
      </c>
      <c r="C49" s="17" t="s">
        <v>37</v>
      </c>
      <c r="D49" s="9"/>
      <c r="E49" s="9"/>
      <c r="F49" s="9"/>
      <c r="G49" s="9"/>
      <c r="H49" s="9"/>
      <c r="I49" s="9"/>
      <c r="J49" s="28"/>
      <c r="K49" s="41"/>
      <c r="L49" s="41"/>
      <c r="M49" s="41"/>
      <c r="N49" s="39" t="e">
        <f t="shared" si="0"/>
        <v>#DIV/0!</v>
      </c>
      <c r="O49" s="41"/>
      <c r="P49" s="39" t="e">
        <f t="shared" si="1"/>
        <v>#DIV/0!</v>
      </c>
      <c r="Q49" s="41"/>
      <c r="R49" s="39" t="e">
        <f t="shared" si="2"/>
        <v>#DIV/0!</v>
      </c>
      <c r="S49" s="33"/>
    </row>
    <row r="50" spans="1:19" x14ac:dyDescent="0.2">
      <c r="A50" s="19" t="s">
        <v>92</v>
      </c>
      <c r="B50" s="20" t="s">
        <v>73</v>
      </c>
      <c r="C50" s="17" t="s">
        <v>37</v>
      </c>
      <c r="D50" s="9"/>
      <c r="E50" s="9"/>
      <c r="F50" s="9"/>
      <c r="G50" s="9"/>
      <c r="H50" s="9">
        <v>1205658.8999999999</v>
      </c>
      <c r="I50" s="13">
        <v>1746754.9</v>
      </c>
      <c r="J50" s="13">
        <f>273460981.5+5454452</f>
        <v>278915433.5</v>
      </c>
      <c r="K50" s="13">
        <f>325974562.5+9137114.7</f>
        <v>335111677.19999999</v>
      </c>
      <c r="L50" s="13">
        <f>K50*106.8%</f>
        <v>357899271.24959999</v>
      </c>
      <c r="M50" s="41">
        <f>L50*105.1%</f>
        <v>376152134.08332956</v>
      </c>
      <c r="N50" s="39">
        <f t="shared" si="0"/>
        <v>105.09999999999998</v>
      </c>
      <c r="O50" s="41">
        <f>M50*104%</f>
        <v>391198219.44666278</v>
      </c>
      <c r="P50" s="39">
        <f t="shared" si="1"/>
        <v>104</v>
      </c>
      <c r="Q50" s="41">
        <f>O50*104%</f>
        <v>406846148.22452933</v>
      </c>
      <c r="R50" s="39">
        <f t="shared" si="2"/>
        <v>104.00000000000001</v>
      </c>
      <c r="S50" s="33"/>
    </row>
    <row r="51" spans="1:19" x14ac:dyDescent="0.2">
      <c r="A51" s="19" t="s">
        <v>93</v>
      </c>
      <c r="B51" s="20" t="s">
        <v>52</v>
      </c>
      <c r="C51" s="17"/>
      <c r="D51" s="9"/>
      <c r="E51" s="9"/>
      <c r="F51" s="9"/>
      <c r="G51" s="9"/>
      <c r="H51" s="9"/>
      <c r="I51" s="9">
        <f>I50*100/H50</f>
        <v>144.87969192613269</v>
      </c>
      <c r="J51" s="13">
        <f>J50*100/I50</f>
        <v>15967.634239926851</v>
      </c>
      <c r="K51" s="13">
        <f>K50*100/J50</f>
        <v>120.14812984524214</v>
      </c>
      <c r="L51" s="41">
        <f>L50*100/K50</f>
        <v>106.8</v>
      </c>
      <c r="M51" s="41">
        <f>M50*100/L50</f>
        <v>105.09999999999998</v>
      </c>
      <c r="N51" s="39">
        <f t="shared" si="0"/>
        <v>98.408239700374523</v>
      </c>
      <c r="O51" s="41">
        <f>O50*100/M50</f>
        <v>104</v>
      </c>
      <c r="P51" s="39">
        <f t="shared" si="1"/>
        <v>98.953377735490022</v>
      </c>
      <c r="Q51" s="41">
        <f>Q50*100/O50</f>
        <v>104.00000000000001</v>
      </c>
      <c r="R51" s="39">
        <f t="shared" si="2"/>
        <v>100.00000000000001</v>
      </c>
      <c r="S51" s="33"/>
    </row>
    <row r="52" spans="1:19" ht="22.5" customHeight="1" x14ac:dyDescent="0.2">
      <c r="A52" s="19" t="s">
        <v>94</v>
      </c>
      <c r="B52" s="23" t="s">
        <v>102</v>
      </c>
      <c r="C52" s="52" t="s">
        <v>58</v>
      </c>
      <c r="D52" s="9"/>
      <c r="E52" s="9"/>
      <c r="F52" s="9"/>
      <c r="G52" s="9"/>
      <c r="H52" s="13"/>
      <c r="I52" s="15">
        <v>105.54</v>
      </c>
      <c r="J52" s="29">
        <v>111.05</v>
      </c>
      <c r="K52" s="42">
        <v>107.38</v>
      </c>
      <c r="L52" s="42">
        <v>106.8</v>
      </c>
      <c r="M52" s="42">
        <v>105.1</v>
      </c>
      <c r="N52" s="39">
        <f t="shared" si="0"/>
        <v>98.408239700374537</v>
      </c>
      <c r="O52" s="42">
        <v>104</v>
      </c>
      <c r="P52" s="39">
        <f t="shared" si="1"/>
        <v>98.953377735490008</v>
      </c>
      <c r="Q52" s="42">
        <v>104</v>
      </c>
      <c r="R52" s="39">
        <f t="shared" si="2"/>
        <v>100</v>
      </c>
      <c r="S52" s="33"/>
    </row>
    <row r="53" spans="1:19" x14ac:dyDescent="0.2">
      <c r="A53" s="19"/>
      <c r="B53" s="23" t="s">
        <v>55</v>
      </c>
      <c r="C53" s="53"/>
      <c r="D53" s="9"/>
      <c r="E53" s="9"/>
      <c r="F53" s="9"/>
      <c r="G53" s="9"/>
      <c r="H53" s="13"/>
      <c r="I53" s="16">
        <v>106.03</v>
      </c>
      <c r="J53" s="30">
        <v>113.61</v>
      </c>
      <c r="K53" s="43">
        <v>107.58</v>
      </c>
      <c r="L53" s="43">
        <v>105.7</v>
      </c>
      <c r="M53" s="43">
        <v>104.2</v>
      </c>
      <c r="N53" s="39">
        <f t="shared" si="0"/>
        <v>98.580889309366128</v>
      </c>
      <c r="O53" s="43">
        <v>103</v>
      </c>
      <c r="P53" s="39">
        <f t="shared" si="1"/>
        <v>98.848368522072931</v>
      </c>
      <c r="Q53" s="43">
        <v>103</v>
      </c>
      <c r="R53" s="39">
        <f t="shared" si="2"/>
        <v>100</v>
      </c>
      <c r="S53" s="33"/>
    </row>
    <row r="54" spans="1:19" x14ac:dyDescent="0.2">
      <c r="A54" s="19"/>
      <c r="B54" s="23" t="s">
        <v>56</v>
      </c>
      <c r="C54" s="53"/>
      <c r="D54" s="9"/>
      <c r="E54" s="9"/>
      <c r="F54" s="9"/>
      <c r="G54" s="9"/>
      <c r="H54" s="13"/>
      <c r="I54" s="16">
        <v>104.71</v>
      </c>
      <c r="J54" s="30">
        <v>109.57</v>
      </c>
      <c r="K54" s="43">
        <v>106.01</v>
      </c>
      <c r="L54" s="43">
        <v>105.6</v>
      </c>
      <c r="M54" s="43">
        <v>103.9</v>
      </c>
      <c r="N54" s="39">
        <f t="shared" si="0"/>
        <v>98.390151515151516</v>
      </c>
      <c r="O54" s="43">
        <v>103.4</v>
      </c>
      <c r="P54" s="39">
        <f t="shared" si="1"/>
        <v>99.518768046198261</v>
      </c>
      <c r="Q54" s="43">
        <v>103.4</v>
      </c>
      <c r="R54" s="39">
        <f t="shared" si="2"/>
        <v>100</v>
      </c>
      <c r="S54" s="33"/>
    </row>
    <row r="55" spans="1:19" x14ac:dyDescent="0.2">
      <c r="A55" s="19"/>
      <c r="B55" s="23" t="s">
        <v>57</v>
      </c>
      <c r="C55" s="54"/>
      <c r="D55" s="9"/>
      <c r="E55" s="9"/>
      <c r="F55" s="9"/>
      <c r="G55" s="9"/>
      <c r="H55" s="13"/>
      <c r="I55" s="16">
        <v>105.87</v>
      </c>
      <c r="J55" s="30">
        <v>109.32</v>
      </c>
      <c r="K55" s="43">
        <v>108.76</v>
      </c>
      <c r="L55" s="43">
        <v>109.4</v>
      </c>
      <c r="M55" s="43">
        <v>107.3</v>
      </c>
      <c r="N55" s="39">
        <f t="shared" si="0"/>
        <v>98.080438756855571</v>
      </c>
      <c r="O55" s="43">
        <v>106</v>
      </c>
      <c r="P55" s="39">
        <f t="shared" si="1"/>
        <v>98.788443616029824</v>
      </c>
      <c r="Q55" s="43">
        <v>106</v>
      </c>
      <c r="R55" s="39">
        <f t="shared" si="2"/>
        <v>100</v>
      </c>
      <c r="S55" s="33"/>
    </row>
    <row r="56" spans="1:19" x14ac:dyDescent="0.2">
      <c r="A56" s="19">
        <v>5</v>
      </c>
      <c r="B56" s="47" t="s">
        <v>95</v>
      </c>
      <c r="C56" s="35"/>
      <c r="D56" s="9"/>
      <c r="E56" s="9"/>
      <c r="F56" s="9"/>
      <c r="G56" s="9"/>
      <c r="H56" s="13"/>
      <c r="I56" s="16"/>
      <c r="J56" s="30"/>
      <c r="K56" s="43"/>
      <c r="L56" s="43"/>
      <c r="M56" s="43"/>
      <c r="N56" s="39"/>
      <c r="O56" s="43"/>
      <c r="P56" s="39"/>
      <c r="Q56" s="43"/>
      <c r="R56" s="39"/>
      <c r="S56" s="33"/>
    </row>
    <row r="57" spans="1:19" ht="19.5" customHeight="1" x14ac:dyDescent="0.2">
      <c r="A57" s="19" t="s">
        <v>96</v>
      </c>
      <c r="B57" s="20" t="s">
        <v>42</v>
      </c>
      <c r="C57" s="17" t="s">
        <v>37</v>
      </c>
      <c r="D57" s="14" t="s">
        <v>46</v>
      </c>
      <c r="E57" s="14" t="s">
        <v>46</v>
      </c>
      <c r="F57" s="14" t="s">
        <v>46</v>
      </c>
      <c r="G57" s="14" t="s">
        <v>46</v>
      </c>
      <c r="H57" s="14"/>
      <c r="I57" s="14"/>
      <c r="J57" s="14" t="s">
        <v>46</v>
      </c>
      <c r="K57" s="14"/>
      <c r="L57" s="14"/>
      <c r="M57" s="14" t="s">
        <v>46</v>
      </c>
      <c r="N57" s="39"/>
      <c r="O57" s="14" t="s">
        <v>46</v>
      </c>
      <c r="P57" s="39"/>
      <c r="Q57" s="14" t="s">
        <v>46</v>
      </c>
      <c r="R57" s="39"/>
    </row>
    <row r="58" spans="1:19" ht="19.5" customHeight="1" x14ac:dyDescent="0.2">
      <c r="A58" s="19" t="s">
        <v>97</v>
      </c>
      <c r="B58" s="20" t="s">
        <v>60</v>
      </c>
      <c r="C58" s="17" t="s">
        <v>37</v>
      </c>
      <c r="D58" s="7">
        <v>492133</v>
      </c>
      <c r="E58" s="7">
        <v>487479.59</v>
      </c>
      <c r="F58" s="7">
        <v>501113.85</v>
      </c>
      <c r="G58" s="7">
        <v>471620.85</v>
      </c>
      <c r="H58" s="7">
        <v>454833.41551999998</v>
      </c>
      <c r="I58" s="7">
        <v>562266.32996</v>
      </c>
      <c r="J58" s="7">
        <v>562399.93334999995</v>
      </c>
      <c r="K58" s="7">
        <v>568110.77798999997</v>
      </c>
      <c r="L58" s="7">
        <v>613803.06955999997</v>
      </c>
      <c r="M58" s="7">
        <v>623372.46200000006</v>
      </c>
      <c r="N58" s="39">
        <f t="shared" si="0"/>
        <v>101.55903300497663</v>
      </c>
      <c r="O58" s="7">
        <v>642994.89099999995</v>
      </c>
      <c r="P58" s="39">
        <f t="shared" si="1"/>
        <v>103.14778566525769</v>
      </c>
      <c r="Q58" s="7">
        <v>663335.19099999999</v>
      </c>
      <c r="R58" s="39">
        <f t="shared" si="2"/>
        <v>103.1633688361608</v>
      </c>
    </row>
    <row r="59" spans="1:19" ht="19.5" customHeight="1" x14ac:dyDescent="0.2">
      <c r="A59" s="19" t="s">
        <v>98</v>
      </c>
      <c r="B59" s="20" t="s">
        <v>59</v>
      </c>
      <c r="C59" s="17" t="s">
        <v>37</v>
      </c>
      <c r="D59" s="7"/>
      <c r="E59" s="7"/>
      <c r="F59" s="7"/>
      <c r="G59" s="7"/>
      <c r="H59" s="7"/>
      <c r="I59" s="7">
        <v>515877.51753000001</v>
      </c>
      <c r="J59" s="7">
        <v>394120.16654000001</v>
      </c>
      <c r="K59" s="7">
        <v>588415.08735000005</v>
      </c>
      <c r="L59" s="7">
        <v>566359.51760999998</v>
      </c>
      <c r="M59" s="7">
        <v>5298.14678</v>
      </c>
      <c r="N59" s="39">
        <f t="shared" si="0"/>
        <v>0.93547413175959881</v>
      </c>
      <c r="O59" s="7">
        <v>0</v>
      </c>
      <c r="P59" s="39">
        <f t="shared" si="1"/>
        <v>0</v>
      </c>
      <c r="Q59" s="7">
        <v>0</v>
      </c>
      <c r="R59" s="39"/>
    </row>
    <row r="60" spans="1:19" ht="24" customHeight="1" x14ac:dyDescent="0.2">
      <c r="A60" s="19" t="s">
        <v>99</v>
      </c>
      <c r="B60" s="20" t="s">
        <v>43</v>
      </c>
      <c r="C60" s="17" t="s">
        <v>37</v>
      </c>
      <c r="D60" s="8">
        <v>0</v>
      </c>
      <c r="E60" s="8">
        <v>0</v>
      </c>
      <c r="F60" s="8"/>
      <c r="G60" s="8">
        <v>0</v>
      </c>
      <c r="H60" s="8"/>
      <c r="I60" s="8"/>
      <c r="J60" s="8">
        <v>0</v>
      </c>
      <c r="K60" s="8"/>
      <c r="L60" s="8"/>
      <c r="M60" s="8">
        <v>0</v>
      </c>
      <c r="N60" s="39"/>
      <c r="O60" s="8">
        <v>0</v>
      </c>
      <c r="P60" s="39"/>
      <c r="Q60" s="8">
        <v>0</v>
      </c>
      <c r="R60" s="39"/>
    </row>
    <row r="61" spans="1:19" ht="19.5" customHeight="1" x14ac:dyDescent="0.2">
      <c r="A61" s="19" t="s">
        <v>100</v>
      </c>
      <c r="B61" s="24" t="s">
        <v>44</v>
      </c>
      <c r="C61" s="17" t="s">
        <v>37</v>
      </c>
      <c r="D61" s="7">
        <v>1102984.3899999999</v>
      </c>
      <c r="E61" s="7">
        <v>1103567.93</v>
      </c>
      <c r="F61" s="7">
        <v>1145351.53</v>
      </c>
      <c r="G61" s="7">
        <v>753483.15</v>
      </c>
      <c r="H61" s="7">
        <v>770773.40191000002</v>
      </c>
      <c r="I61" s="7">
        <f>I59+I58</f>
        <v>1078143.8474900001</v>
      </c>
      <c r="J61" s="7">
        <f>J59+J58</f>
        <v>956520.09988999995</v>
      </c>
      <c r="K61" s="7">
        <v>1156525.86534</v>
      </c>
      <c r="L61" s="7">
        <v>1180162.58717</v>
      </c>
      <c r="M61" s="7">
        <v>628670.60878000001</v>
      </c>
      <c r="N61" s="39">
        <f t="shared" si="0"/>
        <v>53.269830412734592</v>
      </c>
      <c r="O61" s="7">
        <v>642994.89099999995</v>
      </c>
      <c r="P61" s="39">
        <f t="shared" si="1"/>
        <v>102.27850356290676</v>
      </c>
      <c r="Q61" s="7">
        <v>663335.19099999999</v>
      </c>
      <c r="R61" s="39">
        <f t="shared" si="2"/>
        <v>103.1633688361608</v>
      </c>
    </row>
    <row r="62" spans="1:19" ht="15.75" customHeight="1" x14ac:dyDescent="0.2">
      <c r="A62" s="19" t="s">
        <v>101</v>
      </c>
      <c r="B62" s="20" t="s">
        <v>45</v>
      </c>
      <c r="C62" s="17" t="s">
        <v>37</v>
      </c>
      <c r="D62" s="7">
        <v>1028297.4</v>
      </c>
      <c r="E62" s="7">
        <v>1359246.48</v>
      </c>
      <c r="F62" s="7">
        <v>1058829.902</v>
      </c>
      <c r="G62" s="7">
        <v>1093542.53</v>
      </c>
      <c r="H62" s="7">
        <v>997864.97643000004</v>
      </c>
      <c r="I62" s="7">
        <v>1068061.7770199999</v>
      </c>
      <c r="J62" s="7">
        <v>839897.71900000004</v>
      </c>
      <c r="K62" s="7">
        <v>991730.67521999998</v>
      </c>
      <c r="L62" s="7">
        <v>1518924.03632</v>
      </c>
      <c r="M62" s="7">
        <f>M61</f>
        <v>628670.60878000001</v>
      </c>
      <c r="N62" s="39">
        <f t="shared" si="0"/>
        <v>41.389206684958573</v>
      </c>
      <c r="O62" s="7">
        <f>O61</f>
        <v>642994.89099999995</v>
      </c>
      <c r="P62" s="39">
        <f t="shared" si="1"/>
        <v>102.27850356290676</v>
      </c>
      <c r="Q62" s="7">
        <f>Q61</f>
        <v>663335.19099999999</v>
      </c>
      <c r="R62" s="39">
        <f t="shared" si="2"/>
        <v>103.1633688361608</v>
      </c>
    </row>
    <row r="63" spans="1:19" x14ac:dyDescent="0.2">
      <c r="I63" s="25"/>
      <c r="J63" s="25"/>
      <c r="K63" s="25"/>
      <c r="L63" s="25"/>
      <c r="M63" s="25"/>
      <c r="O63" s="25"/>
      <c r="P63" s="25"/>
      <c r="Q63" s="25"/>
      <c r="R63" s="25"/>
    </row>
  </sheetData>
  <mergeCells count="7">
    <mergeCell ref="O1:R1"/>
    <mergeCell ref="C52:C55"/>
    <mergeCell ref="B3:Q3"/>
    <mergeCell ref="A5:A6"/>
    <mergeCell ref="B5:B6"/>
    <mergeCell ref="C5:C6"/>
    <mergeCell ref="M5:N5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2024-10-16T02:07:27Z</dcterms:modified>
</cp:coreProperties>
</file>