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/>
  </bookViews>
  <sheets>
    <sheet name="Ведомств." sheetId="2" r:id="rId1"/>
  </sheets>
  <definedNames>
    <definedName name="_xlnm.Print_Area" localSheetId="0">Ведомств.!$A$1:$U$335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2" i="2"/>
  <c r="L51"/>
  <c r="L24"/>
  <c r="L161"/>
  <c r="L314" l="1"/>
  <c r="L149" l="1"/>
  <c r="L148" s="1"/>
  <c r="L147" s="1"/>
  <c r="L146" s="1"/>
  <c r="L145" s="1"/>
  <c r="S23"/>
  <c r="U13"/>
  <c r="L316"/>
  <c r="L295"/>
  <c r="L294" s="1"/>
  <c r="L293" s="1"/>
  <c r="L64"/>
  <c r="L63"/>
  <c r="L43"/>
  <c r="M23"/>
  <c r="N23"/>
  <c r="O23"/>
  <c r="P23"/>
  <c r="Q23"/>
  <c r="R23"/>
  <c r="L23"/>
  <c r="L22" s="1"/>
  <c r="L21" s="1"/>
  <c r="L20" s="1"/>
  <c r="R25"/>
  <c r="P25"/>
  <c r="P24"/>
  <c r="M25"/>
  <c r="M24"/>
  <c r="L221"/>
  <c r="L331"/>
  <c r="L330" s="1"/>
  <c r="L329" s="1"/>
  <c r="L328" s="1"/>
  <c r="M326"/>
  <c r="L326"/>
  <c r="L324"/>
  <c r="L322"/>
  <c r="L320"/>
  <c r="L317"/>
  <c r="L313"/>
  <c r="L311"/>
  <c r="L308"/>
  <c r="L306"/>
  <c r="L304"/>
  <c r="M301"/>
  <c r="L301"/>
  <c r="L300" s="1"/>
  <c r="M300"/>
  <c r="L291"/>
  <c r="L289"/>
  <c r="L287"/>
  <c r="L285"/>
  <c r="M282"/>
  <c r="L282"/>
  <c r="L277"/>
  <c r="L276" s="1"/>
  <c r="L273"/>
  <c r="L272" s="1"/>
  <c r="M269"/>
  <c r="L269"/>
  <c r="L266"/>
  <c r="L264"/>
  <c r="L263" s="1"/>
  <c r="M261"/>
  <c r="L261"/>
  <c r="M259"/>
  <c r="L259"/>
  <c r="M254"/>
  <c r="L254"/>
  <c r="L247"/>
  <c r="L246" s="1"/>
  <c r="L245" s="1"/>
  <c r="L242"/>
  <c r="L241" s="1"/>
  <c r="M239"/>
  <c r="M238" s="1"/>
  <c r="L239"/>
  <c r="L238" s="1"/>
  <c r="L233"/>
  <c r="L232"/>
  <c r="M230"/>
  <c r="M229" s="1"/>
  <c r="M228" s="1"/>
  <c r="L230"/>
  <c r="L229"/>
  <c r="L228" s="1"/>
  <c r="L227" s="1"/>
  <c r="L226" s="1"/>
  <c r="L213"/>
  <c r="L212" s="1"/>
  <c r="L211" s="1"/>
  <c r="L210" s="1"/>
  <c r="L209" s="1"/>
  <c r="L207"/>
  <c r="L206" s="1"/>
  <c r="L205" s="1"/>
  <c r="L204" s="1"/>
  <c r="L203" s="1"/>
  <c r="L201"/>
  <c r="L200"/>
  <c r="L199" s="1"/>
  <c r="L198" s="1"/>
  <c r="L194"/>
  <c r="L191"/>
  <c r="L188"/>
  <c r="L185"/>
  <c r="L183"/>
  <c r="L179"/>
  <c r="M177"/>
  <c r="L177"/>
  <c r="L174"/>
  <c r="L171"/>
  <c r="L166"/>
  <c r="L165" s="1"/>
  <c r="L164" s="1"/>
  <c r="L163" s="1"/>
  <c r="L160"/>
  <c r="L159" s="1"/>
  <c r="L158" s="1"/>
  <c r="L157" s="1"/>
  <c r="L155"/>
  <c r="L154" s="1"/>
  <c r="L153" s="1"/>
  <c r="L152" s="1"/>
  <c r="L150"/>
  <c r="M141"/>
  <c r="L141"/>
  <c r="L137"/>
  <c r="L136" s="1"/>
  <c r="L135" s="1"/>
  <c r="L134" s="1"/>
  <c r="L131"/>
  <c r="L128"/>
  <c r="L127" s="1"/>
  <c r="L126" s="1"/>
  <c r="L124"/>
  <c r="L123" s="1"/>
  <c r="L122" s="1"/>
  <c r="M120"/>
  <c r="M119" s="1"/>
  <c r="M118" s="1"/>
  <c r="L120"/>
  <c r="L119"/>
  <c r="L118" s="1"/>
  <c r="L115"/>
  <c r="L114" s="1"/>
  <c r="L113" s="1"/>
  <c r="L112" s="1"/>
  <c r="L109"/>
  <c r="M105"/>
  <c r="L105"/>
  <c r="M101"/>
  <c r="L101"/>
  <c r="L96"/>
  <c r="L95" s="1"/>
  <c r="L94" s="1"/>
  <c r="L92"/>
  <c r="L91" s="1"/>
  <c r="L88"/>
  <c r="L87" s="1"/>
  <c r="L84"/>
  <c r="L83" s="1"/>
  <c r="L78"/>
  <c r="L77" s="1"/>
  <c r="L73"/>
  <c r="L70" s="1"/>
  <c r="L71"/>
  <c r="L61"/>
  <c r="L59"/>
  <c r="L57"/>
  <c r="L52"/>
  <c r="L50"/>
  <c r="L45"/>
  <c r="L34"/>
  <c r="L33" s="1"/>
  <c r="L32" s="1"/>
  <c r="L29"/>
  <c r="L28" s="1"/>
  <c r="L27" s="1"/>
  <c r="L15"/>
  <c r="L12"/>
  <c r="J295"/>
  <c r="J288"/>
  <c r="J292"/>
  <c r="J265"/>
  <c r="J252"/>
  <c r="J314"/>
  <c r="J319"/>
  <c r="J307"/>
  <c r="J253"/>
  <c r="J175"/>
  <c r="J68"/>
  <c r="J37"/>
  <c r="J35"/>
  <c r="J223"/>
  <c r="L117" l="1"/>
  <c r="L56"/>
  <c r="L11"/>
  <c r="L10" s="1"/>
  <c r="L9" s="1"/>
  <c r="L8" s="1"/>
  <c r="L7" s="1"/>
  <c r="L42"/>
  <c r="L41" s="1"/>
  <c r="L40" s="1"/>
  <c r="L82"/>
  <c r="L100"/>
  <c r="L99" s="1"/>
  <c r="L81" s="1"/>
  <c r="L80" s="1"/>
  <c r="L237"/>
  <c r="L236" s="1"/>
  <c r="L49"/>
  <c r="L48" s="1"/>
  <c r="L47" s="1"/>
  <c r="L303"/>
  <c r="L299" s="1"/>
  <c r="L298" s="1"/>
  <c r="L281"/>
  <c r="L280" s="1"/>
  <c r="L279" s="1"/>
  <c r="L187"/>
  <c r="L182" s="1"/>
  <c r="L181" s="1"/>
  <c r="L170"/>
  <c r="L169" s="1"/>
  <c r="L168" s="1"/>
  <c r="L133"/>
  <c r="L26"/>
  <c r="L67"/>
  <c r="L66" s="1"/>
  <c r="L220"/>
  <c r="L219" s="1"/>
  <c r="L218" s="1"/>
  <c r="L217" s="1"/>
  <c r="L216" s="1"/>
  <c r="L215" s="1"/>
  <c r="L69"/>
  <c r="L111"/>
  <c r="L251"/>
  <c r="L250" s="1"/>
  <c r="L249" s="1"/>
  <c r="L244" s="1"/>
  <c r="L235" s="1"/>
  <c r="L258"/>
  <c r="L257" s="1"/>
  <c r="J192"/>
  <c r="L55" l="1"/>
  <c r="L54" s="1"/>
  <c r="L19" s="1"/>
  <c r="L162"/>
  <c r="L256"/>
  <c r="L225" s="1"/>
  <c r="K223"/>
  <c r="J220"/>
  <c r="L18" l="1"/>
  <c r="L6" s="1"/>
  <c r="N223"/>
  <c r="O223" s="1"/>
  <c r="M223"/>
  <c r="N220"/>
  <c r="O220"/>
  <c r="Q220" l="1"/>
  <c r="T220" l="1"/>
  <c r="S220" l="1"/>
  <c r="I321" l="1"/>
  <c r="K321" s="1"/>
  <c r="U320"/>
  <c r="T320"/>
  <c r="S320"/>
  <c r="R320"/>
  <c r="Q320"/>
  <c r="P320"/>
  <c r="O320"/>
  <c r="N320"/>
  <c r="J320"/>
  <c r="H320"/>
  <c r="G320"/>
  <c r="K320" l="1"/>
  <c r="M321"/>
  <c r="M320" s="1"/>
  <c r="I320"/>
  <c r="J161" l="1"/>
  <c r="U17" l="1"/>
  <c r="U16"/>
  <c r="U14"/>
  <c r="U12"/>
  <c r="U335"/>
  <c r="U333"/>
  <c r="U332"/>
  <c r="U331"/>
  <c r="U330" s="1"/>
  <c r="U329" s="1"/>
  <c r="U328" s="1"/>
  <c r="T331"/>
  <c r="T330" s="1"/>
  <c r="T329" s="1"/>
  <c r="T328" s="1"/>
  <c r="U327"/>
  <c r="U326" s="1"/>
  <c r="T326"/>
  <c r="U325"/>
  <c r="U324" s="1"/>
  <c r="T324"/>
  <c r="U323"/>
  <c r="U322" s="1"/>
  <c r="T322"/>
  <c r="U318"/>
  <c r="U317" s="1"/>
  <c r="T317"/>
  <c r="U316"/>
  <c r="U315"/>
  <c r="U314"/>
  <c r="T313"/>
  <c r="U312"/>
  <c r="U311" s="1"/>
  <c r="T311"/>
  <c r="U310"/>
  <c r="U308" s="1"/>
  <c r="U309"/>
  <c r="T308"/>
  <c r="U307"/>
  <c r="U306" s="1"/>
  <c r="T306"/>
  <c r="U305"/>
  <c r="U304" s="1"/>
  <c r="T304"/>
  <c r="U301"/>
  <c r="U300" s="1"/>
  <c r="T301"/>
  <c r="T300" s="1"/>
  <c r="U297"/>
  <c r="U296"/>
  <c r="U295"/>
  <c r="U294" s="1"/>
  <c r="U293" s="1"/>
  <c r="T294"/>
  <c r="T293" s="1"/>
  <c r="U292"/>
  <c r="U290"/>
  <c r="U288"/>
  <c r="U286"/>
  <c r="U285" s="1"/>
  <c r="U281" s="1"/>
  <c r="T285"/>
  <c r="T281" s="1"/>
  <c r="U282"/>
  <c r="T282"/>
  <c r="U278"/>
  <c r="U277" s="1"/>
  <c r="U276" s="1"/>
  <c r="T277"/>
  <c r="T276" s="1"/>
  <c r="U275"/>
  <c r="U274"/>
  <c r="T273"/>
  <c r="T272" s="1"/>
  <c r="U269"/>
  <c r="T269"/>
  <c r="U266"/>
  <c r="T266"/>
  <c r="U265"/>
  <c r="U264" s="1"/>
  <c r="T264"/>
  <c r="U261"/>
  <c r="T261"/>
  <c r="U259"/>
  <c r="T259"/>
  <c r="U254"/>
  <c r="T254"/>
  <c r="U253"/>
  <c r="T251"/>
  <c r="U248"/>
  <c r="U247" s="1"/>
  <c r="U246" s="1"/>
  <c r="U245" s="1"/>
  <c r="T247"/>
  <c r="T246" s="1"/>
  <c r="T245" s="1"/>
  <c r="U243"/>
  <c r="U242" s="1"/>
  <c r="U241" s="1"/>
  <c r="T242"/>
  <c r="T241" s="1"/>
  <c r="U239"/>
  <c r="U238" s="1"/>
  <c r="T239"/>
  <c r="T238" s="1"/>
  <c r="U234"/>
  <c r="U233" s="1"/>
  <c r="U232" s="1"/>
  <c r="T233"/>
  <c r="T232" s="1"/>
  <c r="U230"/>
  <c r="U229" s="1"/>
  <c r="U228" s="1"/>
  <c r="U227" s="1"/>
  <c r="U226" s="1"/>
  <c r="T230"/>
  <c r="T229" s="1"/>
  <c r="T228" s="1"/>
  <c r="U224"/>
  <c r="U222"/>
  <c r="U221"/>
  <c r="U220" s="1"/>
  <c r="T219"/>
  <c r="T218" s="1"/>
  <c r="T217" s="1"/>
  <c r="T216" s="1"/>
  <c r="T215" s="1"/>
  <c r="U214"/>
  <c r="U213" s="1"/>
  <c r="U212" s="1"/>
  <c r="U211" s="1"/>
  <c r="U210" s="1"/>
  <c r="U209" s="1"/>
  <c r="T213"/>
  <c r="T212" s="1"/>
  <c r="T211" s="1"/>
  <c r="T210" s="1"/>
  <c r="T209" s="1"/>
  <c r="U208"/>
  <c r="U207" s="1"/>
  <c r="U206" s="1"/>
  <c r="U205" s="1"/>
  <c r="U204" s="1"/>
  <c r="U203" s="1"/>
  <c r="T207"/>
  <c r="T206" s="1"/>
  <c r="T205" s="1"/>
  <c r="T204" s="1"/>
  <c r="T203" s="1"/>
  <c r="U202"/>
  <c r="U201" s="1"/>
  <c r="U200" s="1"/>
  <c r="U199" s="1"/>
  <c r="U198" s="1"/>
  <c r="T201"/>
  <c r="T200" s="1"/>
  <c r="T199" s="1"/>
  <c r="T198" s="1"/>
  <c r="U196"/>
  <c r="U195"/>
  <c r="U194" s="1"/>
  <c r="T194"/>
  <c r="U193"/>
  <c r="U192"/>
  <c r="T191"/>
  <c r="U189"/>
  <c r="U188" s="1"/>
  <c r="T188"/>
  <c r="U186"/>
  <c r="U185" s="1"/>
  <c r="T185"/>
  <c r="U184"/>
  <c r="U183" s="1"/>
  <c r="T183"/>
  <c r="U180"/>
  <c r="U179" s="1"/>
  <c r="T179"/>
  <c r="U177"/>
  <c r="T177"/>
  <c r="U174"/>
  <c r="T174"/>
  <c r="U173"/>
  <c r="U171" s="1"/>
  <c r="U172"/>
  <c r="T171"/>
  <c r="U167"/>
  <c r="U166" s="1"/>
  <c r="U165" s="1"/>
  <c r="U164" s="1"/>
  <c r="U163" s="1"/>
  <c r="T166"/>
  <c r="T165" s="1"/>
  <c r="T164" s="1"/>
  <c r="T163" s="1"/>
  <c r="U161"/>
  <c r="U160" s="1"/>
  <c r="U159" s="1"/>
  <c r="U158" s="1"/>
  <c r="U157" s="1"/>
  <c r="T160"/>
  <c r="T159" s="1"/>
  <c r="T158" s="1"/>
  <c r="T157" s="1"/>
  <c r="U156"/>
  <c r="U155" s="1"/>
  <c r="U154" s="1"/>
  <c r="U153" s="1"/>
  <c r="U152" s="1"/>
  <c r="T155"/>
  <c r="T154" s="1"/>
  <c r="T153" s="1"/>
  <c r="T152" s="1"/>
  <c r="U151"/>
  <c r="U150" s="1"/>
  <c r="T150"/>
  <c r="U149"/>
  <c r="U148" s="1"/>
  <c r="U147" s="1"/>
  <c r="T148"/>
  <c r="T147" s="1"/>
  <c r="U141"/>
  <c r="T141"/>
  <c r="U139"/>
  <c r="U137" s="1"/>
  <c r="U136" s="1"/>
  <c r="U135" s="1"/>
  <c r="U134" s="1"/>
  <c r="T137"/>
  <c r="U132"/>
  <c r="U131" s="1"/>
  <c r="T131"/>
  <c r="U130"/>
  <c r="U129"/>
  <c r="T128"/>
  <c r="U125"/>
  <c r="U124"/>
  <c r="U123" s="1"/>
  <c r="U122" s="1"/>
  <c r="T124"/>
  <c r="T123" s="1"/>
  <c r="T122" s="1"/>
  <c r="U120"/>
  <c r="U119" s="1"/>
  <c r="U118" s="1"/>
  <c r="T120"/>
  <c r="T119" s="1"/>
  <c r="T118" s="1"/>
  <c r="U116"/>
  <c r="U115" s="1"/>
  <c r="U114" s="1"/>
  <c r="U113" s="1"/>
  <c r="U112" s="1"/>
  <c r="T115"/>
  <c r="T114" s="1"/>
  <c r="T113" s="1"/>
  <c r="T112" s="1"/>
  <c r="U110"/>
  <c r="U109" s="1"/>
  <c r="T109"/>
  <c r="U105"/>
  <c r="T105"/>
  <c r="U101"/>
  <c r="T101"/>
  <c r="U98"/>
  <c r="U97"/>
  <c r="T96"/>
  <c r="T95" s="1"/>
  <c r="T94" s="1"/>
  <c r="T92"/>
  <c r="T91" s="1"/>
  <c r="U90"/>
  <c r="U89"/>
  <c r="T88"/>
  <c r="T87" s="1"/>
  <c r="U86"/>
  <c r="U85"/>
  <c r="T84"/>
  <c r="T83" s="1"/>
  <c r="T78"/>
  <c r="T77" s="1"/>
  <c r="U76"/>
  <c r="U75"/>
  <c r="U74"/>
  <c r="T73"/>
  <c r="U72"/>
  <c r="U71" s="1"/>
  <c r="T71"/>
  <c r="U68"/>
  <c r="U67" s="1"/>
  <c r="U66" s="1"/>
  <c r="T67"/>
  <c r="T66" s="1"/>
  <c r="U65"/>
  <c r="U64"/>
  <c r="T63"/>
  <c r="U62"/>
  <c r="U61" s="1"/>
  <c r="T61"/>
  <c r="U60"/>
  <c r="U59" s="1"/>
  <c r="T59"/>
  <c r="U58"/>
  <c r="U57" s="1"/>
  <c r="T57"/>
  <c r="U53"/>
  <c r="U52" s="1"/>
  <c r="T52"/>
  <c r="T50"/>
  <c r="U46"/>
  <c r="U45" s="1"/>
  <c r="T45"/>
  <c r="U44"/>
  <c r="U43" s="1"/>
  <c r="T43"/>
  <c r="U39"/>
  <c r="U38"/>
  <c r="U37"/>
  <c r="U36"/>
  <c r="U35"/>
  <c r="T34"/>
  <c r="T33" s="1"/>
  <c r="T32" s="1"/>
  <c r="U31"/>
  <c r="U30"/>
  <c r="T29"/>
  <c r="T28" s="1"/>
  <c r="T27" s="1"/>
  <c r="U24"/>
  <c r="U23" s="1"/>
  <c r="U22" s="1"/>
  <c r="U21" s="1"/>
  <c r="U20" s="1"/>
  <c r="T23"/>
  <c r="T22" s="1"/>
  <c r="T21" s="1"/>
  <c r="T20" s="1"/>
  <c r="U15"/>
  <c r="T15"/>
  <c r="T12"/>
  <c r="G12"/>
  <c r="H12"/>
  <c r="J12"/>
  <c r="N12"/>
  <c r="O12"/>
  <c r="Q12"/>
  <c r="S12"/>
  <c r="I13"/>
  <c r="P13"/>
  <c r="I14"/>
  <c r="K14" s="1"/>
  <c r="M14" s="1"/>
  <c r="P14"/>
  <c r="R14" s="1"/>
  <c r="G15"/>
  <c r="H15"/>
  <c r="J15"/>
  <c r="N15"/>
  <c r="O15"/>
  <c r="Q15"/>
  <c r="S15"/>
  <c r="I16"/>
  <c r="K16" s="1"/>
  <c r="M16" s="1"/>
  <c r="P16"/>
  <c r="I17"/>
  <c r="K17" s="1"/>
  <c r="M17" s="1"/>
  <c r="P17"/>
  <c r="R17" s="1"/>
  <c r="G23"/>
  <c r="G22" s="1"/>
  <c r="G21" s="1"/>
  <c r="G20" s="1"/>
  <c r="H23"/>
  <c r="H22" s="1"/>
  <c r="H21" s="1"/>
  <c r="H20" s="1"/>
  <c r="J23"/>
  <c r="J22" s="1"/>
  <c r="J21" s="1"/>
  <c r="J20" s="1"/>
  <c r="N22"/>
  <c r="N21" s="1"/>
  <c r="N20" s="1"/>
  <c r="O22"/>
  <c r="O21" s="1"/>
  <c r="O20" s="1"/>
  <c r="Q22"/>
  <c r="Q21" s="1"/>
  <c r="Q20" s="1"/>
  <c r="S22"/>
  <c r="S21" s="1"/>
  <c r="S20" s="1"/>
  <c r="I24"/>
  <c r="I23" s="1"/>
  <c r="I22" s="1"/>
  <c r="I21" s="1"/>
  <c r="I20" s="1"/>
  <c r="P22"/>
  <c r="P21" s="1"/>
  <c r="P20" s="1"/>
  <c r="G29"/>
  <c r="G28" s="1"/>
  <c r="G27" s="1"/>
  <c r="H29"/>
  <c r="H28" s="1"/>
  <c r="H27" s="1"/>
  <c r="J29"/>
  <c r="J28" s="1"/>
  <c r="J27" s="1"/>
  <c r="N29"/>
  <c r="N28" s="1"/>
  <c r="N27" s="1"/>
  <c r="O29"/>
  <c r="O28" s="1"/>
  <c r="O27" s="1"/>
  <c r="Q29"/>
  <c r="Q28" s="1"/>
  <c r="Q27" s="1"/>
  <c r="S29"/>
  <c r="S28" s="1"/>
  <c r="S27" s="1"/>
  <c r="I30"/>
  <c r="K30" s="1"/>
  <c r="M30" s="1"/>
  <c r="M29" s="1"/>
  <c r="M28" s="1"/>
  <c r="M27" s="1"/>
  <c r="P30"/>
  <c r="R30" s="1"/>
  <c r="I31"/>
  <c r="K31" s="1"/>
  <c r="M31" s="1"/>
  <c r="P31"/>
  <c r="R31" s="1"/>
  <c r="G34"/>
  <c r="G33" s="1"/>
  <c r="G32" s="1"/>
  <c r="J34"/>
  <c r="J33" s="1"/>
  <c r="J32" s="1"/>
  <c r="N34"/>
  <c r="N33" s="1"/>
  <c r="N32" s="1"/>
  <c r="O34"/>
  <c r="O33" s="1"/>
  <c r="O32" s="1"/>
  <c r="Q34"/>
  <c r="Q33" s="1"/>
  <c r="Q32" s="1"/>
  <c r="S34"/>
  <c r="S33" s="1"/>
  <c r="S32" s="1"/>
  <c r="I35"/>
  <c r="P35"/>
  <c r="R35" s="1"/>
  <c r="H36"/>
  <c r="P36"/>
  <c r="R36" s="1"/>
  <c r="I37"/>
  <c r="K37" s="1"/>
  <c r="M37" s="1"/>
  <c r="P37"/>
  <c r="R37"/>
  <c r="I38"/>
  <c r="K38" s="1"/>
  <c r="M38" s="1"/>
  <c r="P38"/>
  <c r="R38" s="1"/>
  <c r="I39"/>
  <c r="K39" s="1"/>
  <c r="M39" s="1"/>
  <c r="P39"/>
  <c r="R39" s="1"/>
  <c r="G43"/>
  <c r="H43"/>
  <c r="J43"/>
  <c r="N43"/>
  <c r="O43"/>
  <c r="Q43"/>
  <c r="S43"/>
  <c r="I44"/>
  <c r="K44" s="1"/>
  <c r="P44"/>
  <c r="P43" s="1"/>
  <c r="G45"/>
  <c r="H45"/>
  <c r="J45"/>
  <c r="N45"/>
  <c r="O45"/>
  <c r="Q45"/>
  <c r="S45"/>
  <c r="I46"/>
  <c r="P46"/>
  <c r="P45" s="1"/>
  <c r="H50"/>
  <c r="J50"/>
  <c r="O50"/>
  <c r="Q50"/>
  <c r="G51"/>
  <c r="N51"/>
  <c r="N50" s="1"/>
  <c r="S51"/>
  <c r="S50" s="1"/>
  <c r="G52"/>
  <c r="H52"/>
  <c r="J52"/>
  <c r="N52"/>
  <c r="O52"/>
  <c r="Q52"/>
  <c r="S52"/>
  <c r="I53"/>
  <c r="I52" s="1"/>
  <c r="P53"/>
  <c r="G57"/>
  <c r="H57"/>
  <c r="J57"/>
  <c r="N57"/>
  <c r="O57"/>
  <c r="Q57"/>
  <c r="S57"/>
  <c r="I58"/>
  <c r="P58"/>
  <c r="R58" s="1"/>
  <c r="R57" s="1"/>
  <c r="G59"/>
  <c r="H59"/>
  <c r="J59"/>
  <c r="N59"/>
  <c r="O59"/>
  <c r="Q59"/>
  <c r="S59"/>
  <c r="I60"/>
  <c r="I59" s="1"/>
  <c r="P60"/>
  <c r="R60" s="1"/>
  <c r="R59" s="1"/>
  <c r="G61"/>
  <c r="H61"/>
  <c r="J61"/>
  <c r="N61"/>
  <c r="O61"/>
  <c r="Q61"/>
  <c r="S61"/>
  <c r="I62"/>
  <c r="I61" s="1"/>
  <c r="P62"/>
  <c r="G63"/>
  <c r="J63"/>
  <c r="N63"/>
  <c r="O63"/>
  <c r="Q63"/>
  <c r="S63"/>
  <c r="H64"/>
  <c r="P64"/>
  <c r="I65"/>
  <c r="K65" s="1"/>
  <c r="M65" s="1"/>
  <c r="P65"/>
  <c r="R65" s="1"/>
  <c r="G67"/>
  <c r="G66" s="1"/>
  <c r="J67"/>
  <c r="J66" s="1"/>
  <c r="N67"/>
  <c r="N66" s="1"/>
  <c r="Q67"/>
  <c r="Q66" s="1"/>
  <c r="S67"/>
  <c r="S66" s="1"/>
  <c r="H68"/>
  <c r="O68"/>
  <c r="O67" s="1"/>
  <c r="O66" s="1"/>
  <c r="G71"/>
  <c r="H71"/>
  <c r="J71"/>
  <c r="N71"/>
  <c r="O71"/>
  <c r="Q71"/>
  <c r="S71"/>
  <c r="I72"/>
  <c r="I71" s="1"/>
  <c r="P72"/>
  <c r="P71" s="1"/>
  <c r="G73"/>
  <c r="H73"/>
  <c r="J73"/>
  <c r="N73"/>
  <c r="N70" s="1"/>
  <c r="O73"/>
  <c r="Q73"/>
  <c r="S73"/>
  <c r="I74"/>
  <c r="P74"/>
  <c r="I75"/>
  <c r="K75" s="1"/>
  <c r="M75" s="1"/>
  <c r="P75"/>
  <c r="R75" s="1"/>
  <c r="I76"/>
  <c r="K76" s="1"/>
  <c r="M76" s="1"/>
  <c r="P76"/>
  <c r="R76" s="1"/>
  <c r="G78"/>
  <c r="G77" s="1"/>
  <c r="H78"/>
  <c r="H77" s="1"/>
  <c r="J78"/>
  <c r="J77" s="1"/>
  <c r="O78"/>
  <c r="O77" s="1"/>
  <c r="Q78"/>
  <c r="Q77" s="1"/>
  <c r="I79"/>
  <c r="N79"/>
  <c r="N78" s="1"/>
  <c r="N77" s="1"/>
  <c r="S79"/>
  <c r="U79" s="1"/>
  <c r="U78" s="1"/>
  <c r="U77" s="1"/>
  <c r="G84"/>
  <c r="G83" s="1"/>
  <c r="J84"/>
  <c r="J83" s="1"/>
  <c r="N84"/>
  <c r="N83" s="1"/>
  <c r="O84"/>
  <c r="O83" s="1"/>
  <c r="Q84"/>
  <c r="Q83" s="1"/>
  <c r="S84"/>
  <c r="S83" s="1"/>
  <c r="H85"/>
  <c r="H84" s="1"/>
  <c r="H83" s="1"/>
  <c r="P85"/>
  <c r="I86"/>
  <c r="K86" s="1"/>
  <c r="M86" s="1"/>
  <c r="P86"/>
  <c r="R86" s="1"/>
  <c r="G88"/>
  <c r="G87" s="1"/>
  <c r="H88"/>
  <c r="H87" s="1"/>
  <c r="J88"/>
  <c r="J87" s="1"/>
  <c r="N88"/>
  <c r="N87" s="1"/>
  <c r="O88"/>
  <c r="O87" s="1"/>
  <c r="Q88"/>
  <c r="Q87" s="1"/>
  <c r="S88"/>
  <c r="S87" s="1"/>
  <c r="I89"/>
  <c r="P89"/>
  <c r="R89" s="1"/>
  <c r="I90"/>
  <c r="K90" s="1"/>
  <c r="M90" s="1"/>
  <c r="P90"/>
  <c r="R90" s="1"/>
  <c r="H92"/>
  <c r="H91" s="1"/>
  <c r="J92"/>
  <c r="J91" s="1"/>
  <c r="O92"/>
  <c r="O91" s="1"/>
  <c r="Q92"/>
  <c r="Q91" s="1"/>
  <c r="G93"/>
  <c r="G92" s="1"/>
  <c r="G91" s="1"/>
  <c r="N93"/>
  <c r="N92" s="1"/>
  <c r="N91" s="1"/>
  <c r="S93"/>
  <c r="G96"/>
  <c r="G95" s="1"/>
  <c r="G94" s="1"/>
  <c r="J96"/>
  <c r="J95" s="1"/>
  <c r="J94" s="1"/>
  <c r="N96"/>
  <c r="N95" s="1"/>
  <c r="N94" s="1"/>
  <c r="O96"/>
  <c r="O95" s="1"/>
  <c r="O94" s="1"/>
  <c r="Q96"/>
  <c r="Q95" s="1"/>
  <c r="Q94" s="1"/>
  <c r="S96"/>
  <c r="S95" s="1"/>
  <c r="S94" s="1"/>
  <c r="H97"/>
  <c r="I97" s="1"/>
  <c r="P97"/>
  <c r="I98"/>
  <c r="K98" s="1"/>
  <c r="M98" s="1"/>
  <c r="P98"/>
  <c r="R98" s="1"/>
  <c r="G101"/>
  <c r="H101"/>
  <c r="I101"/>
  <c r="J101"/>
  <c r="K101"/>
  <c r="N101"/>
  <c r="O101"/>
  <c r="P101"/>
  <c r="Q101"/>
  <c r="R101"/>
  <c r="S101"/>
  <c r="G105"/>
  <c r="H105"/>
  <c r="I105"/>
  <c r="J105"/>
  <c r="K105"/>
  <c r="N105"/>
  <c r="O105"/>
  <c r="P105"/>
  <c r="Q105"/>
  <c r="R105"/>
  <c r="S105"/>
  <c r="G109"/>
  <c r="H109"/>
  <c r="J109"/>
  <c r="N109"/>
  <c r="O109"/>
  <c r="Q109"/>
  <c r="S109"/>
  <c r="I110"/>
  <c r="K110" s="1"/>
  <c r="P110"/>
  <c r="P109" s="1"/>
  <c r="H115"/>
  <c r="H114" s="1"/>
  <c r="H113" s="1"/>
  <c r="H112" s="1"/>
  <c r="J115"/>
  <c r="J114" s="1"/>
  <c r="J113" s="1"/>
  <c r="J112" s="1"/>
  <c r="O115"/>
  <c r="O114" s="1"/>
  <c r="O113" s="1"/>
  <c r="O112" s="1"/>
  <c r="Q115"/>
  <c r="Q114" s="1"/>
  <c r="Q113" s="1"/>
  <c r="Q112" s="1"/>
  <c r="S115"/>
  <c r="S114" s="1"/>
  <c r="S113" s="1"/>
  <c r="S112" s="1"/>
  <c r="G116"/>
  <c r="N116"/>
  <c r="N115" s="1"/>
  <c r="N114" s="1"/>
  <c r="N113" s="1"/>
  <c r="N112" s="1"/>
  <c r="G120"/>
  <c r="G119" s="1"/>
  <c r="G118" s="1"/>
  <c r="H120"/>
  <c r="H119" s="1"/>
  <c r="H118" s="1"/>
  <c r="I120"/>
  <c r="I119" s="1"/>
  <c r="I118" s="1"/>
  <c r="J120"/>
  <c r="J119" s="1"/>
  <c r="J118" s="1"/>
  <c r="K120"/>
  <c r="K119" s="1"/>
  <c r="K118" s="1"/>
  <c r="N120"/>
  <c r="N119" s="1"/>
  <c r="N118" s="1"/>
  <c r="O120"/>
  <c r="O119" s="1"/>
  <c r="O118" s="1"/>
  <c r="P120"/>
  <c r="P119" s="1"/>
  <c r="P118" s="1"/>
  <c r="Q120"/>
  <c r="Q119" s="1"/>
  <c r="Q118" s="1"/>
  <c r="R120"/>
  <c r="R119" s="1"/>
  <c r="R118" s="1"/>
  <c r="S120"/>
  <c r="S119" s="1"/>
  <c r="S118" s="1"/>
  <c r="H123"/>
  <c r="H122" s="1"/>
  <c r="G124"/>
  <c r="G123" s="1"/>
  <c r="G122" s="1"/>
  <c r="H124"/>
  <c r="J124"/>
  <c r="J123" s="1"/>
  <c r="J122" s="1"/>
  <c r="N124"/>
  <c r="N123" s="1"/>
  <c r="N122" s="1"/>
  <c r="O124"/>
  <c r="O123" s="1"/>
  <c r="O122" s="1"/>
  <c r="Q124"/>
  <c r="Q123" s="1"/>
  <c r="Q122" s="1"/>
  <c r="S124"/>
  <c r="S123" s="1"/>
  <c r="S122" s="1"/>
  <c r="I125"/>
  <c r="P125"/>
  <c r="P124" s="1"/>
  <c r="P123" s="1"/>
  <c r="P122" s="1"/>
  <c r="G128"/>
  <c r="H128"/>
  <c r="J128"/>
  <c r="N128"/>
  <c r="O128"/>
  <c r="Q128"/>
  <c r="S128"/>
  <c r="I129"/>
  <c r="P129"/>
  <c r="R129" s="1"/>
  <c r="I130"/>
  <c r="K130" s="1"/>
  <c r="M130" s="1"/>
  <c r="P130"/>
  <c r="R130" s="1"/>
  <c r="G131"/>
  <c r="H131"/>
  <c r="J131"/>
  <c r="N131"/>
  <c r="O131"/>
  <c r="Q131"/>
  <c r="S131"/>
  <c r="I132"/>
  <c r="I131" s="1"/>
  <c r="P132"/>
  <c r="P131" s="1"/>
  <c r="G137"/>
  <c r="H137"/>
  <c r="J137"/>
  <c r="N137"/>
  <c r="O137"/>
  <c r="Q137"/>
  <c r="S137"/>
  <c r="I138"/>
  <c r="K138" s="1"/>
  <c r="M138" s="1"/>
  <c r="M137" s="1"/>
  <c r="M136" s="1"/>
  <c r="M135" s="1"/>
  <c r="M134" s="1"/>
  <c r="I139"/>
  <c r="K139" s="1"/>
  <c r="M139" s="1"/>
  <c r="P139"/>
  <c r="P137" s="1"/>
  <c r="G141"/>
  <c r="H141"/>
  <c r="I141"/>
  <c r="J141"/>
  <c r="K141"/>
  <c r="N141"/>
  <c r="O141"/>
  <c r="O136" s="1"/>
  <c r="O135" s="1"/>
  <c r="O134" s="1"/>
  <c r="P141"/>
  <c r="Q141"/>
  <c r="R141"/>
  <c r="S141"/>
  <c r="G148"/>
  <c r="G147" s="1"/>
  <c r="G146" s="1"/>
  <c r="G145" s="1"/>
  <c r="H148"/>
  <c r="H147" s="1"/>
  <c r="J148"/>
  <c r="J147" s="1"/>
  <c r="N148"/>
  <c r="N147" s="1"/>
  <c r="O148"/>
  <c r="O147" s="1"/>
  <c r="Q148"/>
  <c r="Q147" s="1"/>
  <c r="S148"/>
  <c r="S147" s="1"/>
  <c r="I149"/>
  <c r="P149"/>
  <c r="R149" s="1"/>
  <c r="R148" s="1"/>
  <c r="R147" s="1"/>
  <c r="G150"/>
  <c r="H150"/>
  <c r="J150"/>
  <c r="N150"/>
  <c r="O150"/>
  <c r="Q150"/>
  <c r="S150"/>
  <c r="I151"/>
  <c r="I150" s="1"/>
  <c r="P151"/>
  <c r="R151" s="1"/>
  <c r="R150" s="1"/>
  <c r="G155"/>
  <c r="G154" s="1"/>
  <c r="G153" s="1"/>
  <c r="G152" s="1"/>
  <c r="H155"/>
  <c r="H154" s="1"/>
  <c r="H153" s="1"/>
  <c r="H152" s="1"/>
  <c r="J155"/>
  <c r="J154" s="1"/>
  <c r="J153" s="1"/>
  <c r="J152" s="1"/>
  <c r="N155"/>
  <c r="N154" s="1"/>
  <c r="N153" s="1"/>
  <c r="N152" s="1"/>
  <c r="O155"/>
  <c r="O154" s="1"/>
  <c r="O153" s="1"/>
  <c r="O152" s="1"/>
  <c r="Q155"/>
  <c r="Q154" s="1"/>
  <c r="Q153" s="1"/>
  <c r="Q152" s="1"/>
  <c r="S155"/>
  <c r="S154" s="1"/>
  <c r="S153" s="1"/>
  <c r="S152" s="1"/>
  <c r="I156"/>
  <c r="P156"/>
  <c r="R156" s="1"/>
  <c r="R155" s="1"/>
  <c r="R154" s="1"/>
  <c r="R153" s="1"/>
  <c r="R152" s="1"/>
  <c r="G160"/>
  <c r="G159" s="1"/>
  <c r="G158" s="1"/>
  <c r="G157" s="1"/>
  <c r="H160"/>
  <c r="H159" s="1"/>
  <c r="H158" s="1"/>
  <c r="H157" s="1"/>
  <c r="J160"/>
  <c r="J159" s="1"/>
  <c r="J158" s="1"/>
  <c r="J157" s="1"/>
  <c r="N160"/>
  <c r="N159" s="1"/>
  <c r="N158" s="1"/>
  <c r="N157" s="1"/>
  <c r="O160"/>
  <c r="O159" s="1"/>
  <c r="O158" s="1"/>
  <c r="O157" s="1"/>
  <c r="Q160"/>
  <c r="Q159" s="1"/>
  <c r="Q158" s="1"/>
  <c r="Q157" s="1"/>
  <c r="S160"/>
  <c r="S159" s="1"/>
  <c r="S158" s="1"/>
  <c r="S157" s="1"/>
  <c r="I161"/>
  <c r="I160" s="1"/>
  <c r="I159" s="1"/>
  <c r="I158" s="1"/>
  <c r="I157" s="1"/>
  <c r="P161"/>
  <c r="R161" s="1"/>
  <c r="R160" s="1"/>
  <c r="R159" s="1"/>
  <c r="R158" s="1"/>
  <c r="R157" s="1"/>
  <c r="G166"/>
  <c r="G165" s="1"/>
  <c r="G164" s="1"/>
  <c r="G163" s="1"/>
  <c r="H166"/>
  <c r="H165" s="1"/>
  <c r="H164" s="1"/>
  <c r="H163" s="1"/>
  <c r="J166"/>
  <c r="J165" s="1"/>
  <c r="J164" s="1"/>
  <c r="J163" s="1"/>
  <c r="N166"/>
  <c r="N165" s="1"/>
  <c r="N164" s="1"/>
  <c r="N163" s="1"/>
  <c r="O166"/>
  <c r="O165" s="1"/>
  <c r="O164" s="1"/>
  <c r="O163" s="1"/>
  <c r="Q166"/>
  <c r="Q165" s="1"/>
  <c r="Q164" s="1"/>
  <c r="Q163" s="1"/>
  <c r="S166"/>
  <c r="S165" s="1"/>
  <c r="S164" s="1"/>
  <c r="S163" s="1"/>
  <c r="I167"/>
  <c r="K167" s="1"/>
  <c r="P167"/>
  <c r="G171"/>
  <c r="H171"/>
  <c r="J171"/>
  <c r="N171"/>
  <c r="O171"/>
  <c r="Q171"/>
  <c r="S171"/>
  <c r="I172"/>
  <c r="K172" s="1"/>
  <c r="M172" s="1"/>
  <c r="P172"/>
  <c r="I173"/>
  <c r="P173"/>
  <c r="R173" s="1"/>
  <c r="G174"/>
  <c r="H174"/>
  <c r="J174"/>
  <c r="N174"/>
  <c r="O174"/>
  <c r="P174"/>
  <c r="Q174"/>
  <c r="R174"/>
  <c r="S174"/>
  <c r="I175"/>
  <c r="K175" s="1"/>
  <c r="G177"/>
  <c r="H177"/>
  <c r="I177"/>
  <c r="J177"/>
  <c r="K177"/>
  <c r="N177"/>
  <c r="O177"/>
  <c r="P177"/>
  <c r="Q177"/>
  <c r="R177"/>
  <c r="S177"/>
  <c r="G179"/>
  <c r="H179"/>
  <c r="J179"/>
  <c r="N179"/>
  <c r="O179"/>
  <c r="Q179"/>
  <c r="S179"/>
  <c r="I180"/>
  <c r="K180" s="1"/>
  <c r="P180"/>
  <c r="P179" s="1"/>
  <c r="G183"/>
  <c r="H183"/>
  <c r="J183"/>
  <c r="N183"/>
  <c r="O183"/>
  <c r="Q183"/>
  <c r="S183"/>
  <c r="I184"/>
  <c r="I183" s="1"/>
  <c r="P184"/>
  <c r="G185"/>
  <c r="H185"/>
  <c r="J185"/>
  <c r="N185"/>
  <c r="O185"/>
  <c r="Q185"/>
  <c r="S185"/>
  <c r="I186"/>
  <c r="K186" s="1"/>
  <c r="P186"/>
  <c r="R186" s="1"/>
  <c r="R185" s="1"/>
  <c r="G188"/>
  <c r="H188"/>
  <c r="J188"/>
  <c r="N188"/>
  <c r="O188"/>
  <c r="Q188"/>
  <c r="S188"/>
  <c r="I189"/>
  <c r="P189"/>
  <c r="P188" s="1"/>
  <c r="I190"/>
  <c r="K190" s="1"/>
  <c r="M190" s="1"/>
  <c r="G191"/>
  <c r="H191"/>
  <c r="J191"/>
  <c r="N191"/>
  <c r="O191"/>
  <c r="Q191"/>
  <c r="S191"/>
  <c r="I192"/>
  <c r="P192"/>
  <c r="R192" s="1"/>
  <c r="I193"/>
  <c r="K193" s="1"/>
  <c r="M193" s="1"/>
  <c r="P193"/>
  <c r="R193" s="1"/>
  <c r="G194"/>
  <c r="H194"/>
  <c r="J194"/>
  <c r="N194"/>
  <c r="O194"/>
  <c r="Q194"/>
  <c r="S194"/>
  <c r="I195"/>
  <c r="K195" s="1"/>
  <c r="M195" s="1"/>
  <c r="P195"/>
  <c r="I196"/>
  <c r="K196" s="1"/>
  <c r="M196" s="1"/>
  <c r="P196"/>
  <c r="R196" s="1"/>
  <c r="I197"/>
  <c r="K197" s="1"/>
  <c r="M197" s="1"/>
  <c r="H201"/>
  <c r="H200" s="1"/>
  <c r="H199" s="1"/>
  <c r="H198" s="1"/>
  <c r="J201"/>
  <c r="J200" s="1"/>
  <c r="J199" s="1"/>
  <c r="J198" s="1"/>
  <c r="N201"/>
  <c r="N200" s="1"/>
  <c r="N199" s="1"/>
  <c r="N198" s="1"/>
  <c r="O201"/>
  <c r="O200" s="1"/>
  <c r="O199" s="1"/>
  <c r="O198" s="1"/>
  <c r="Q201"/>
  <c r="Q200" s="1"/>
  <c r="Q199" s="1"/>
  <c r="Q198" s="1"/>
  <c r="S201"/>
  <c r="S200" s="1"/>
  <c r="S199" s="1"/>
  <c r="S198" s="1"/>
  <c r="G202"/>
  <c r="G201" s="1"/>
  <c r="G200" s="1"/>
  <c r="G199" s="1"/>
  <c r="G198" s="1"/>
  <c r="P202"/>
  <c r="G207"/>
  <c r="G206" s="1"/>
  <c r="G205" s="1"/>
  <c r="G204" s="1"/>
  <c r="G203" s="1"/>
  <c r="H207"/>
  <c r="H206" s="1"/>
  <c r="H205" s="1"/>
  <c r="H204" s="1"/>
  <c r="H203" s="1"/>
  <c r="J207"/>
  <c r="J206" s="1"/>
  <c r="J205" s="1"/>
  <c r="J204" s="1"/>
  <c r="J203" s="1"/>
  <c r="N207"/>
  <c r="N206" s="1"/>
  <c r="N205" s="1"/>
  <c r="N204" s="1"/>
  <c r="N203" s="1"/>
  <c r="O207"/>
  <c r="O206" s="1"/>
  <c r="O205" s="1"/>
  <c r="O204" s="1"/>
  <c r="O203" s="1"/>
  <c r="Q207"/>
  <c r="Q206" s="1"/>
  <c r="Q205" s="1"/>
  <c r="Q204" s="1"/>
  <c r="Q203" s="1"/>
  <c r="S207"/>
  <c r="S206" s="1"/>
  <c r="S205" s="1"/>
  <c r="S204" s="1"/>
  <c r="S203" s="1"/>
  <c r="I208"/>
  <c r="I207" s="1"/>
  <c r="I206" s="1"/>
  <c r="I205" s="1"/>
  <c r="I204" s="1"/>
  <c r="I203" s="1"/>
  <c r="P208"/>
  <c r="P207" s="1"/>
  <c r="P206" s="1"/>
  <c r="P205" s="1"/>
  <c r="P204" s="1"/>
  <c r="P203" s="1"/>
  <c r="G213"/>
  <c r="G212" s="1"/>
  <c r="G211" s="1"/>
  <c r="G210" s="1"/>
  <c r="G209" s="1"/>
  <c r="H213"/>
  <c r="H212" s="1"/>
  <c r="H211" s="1"/>
  <c r="H210" s="1"/>
  <c r="H209" s="1"/>
  <c r="J213"/>
  <c r="J212" s="1"/>
  <c r="J211" s="1"/>
  <c r="J210" s="1"/>
  <c r="J209" s="1"/>
  <c r="N213"/>
  <c r="N212" s="1"/>
  <c r="N211" s="1"/>
  <c r="N210" s="1"/>
  <c r="N209" s="1"/>
  <c r="O213"/>
  <c r="O212" s="1"/>
  <c r="O211" s="1"/>
  <c r="O210" s="1"/>
  <c r="O209" s="1"/>
  <c r="Q213"/>
  <c r="Q212" s="1"/>
  <c r="Q211" s="1"/>
  <c r="Q210" s="1"/>
  <c r="Q209" s="1"/>
  <c r="S213"/>
  <c r="S212" s="1"/>
  <c r="S211" s="1"/>
  <c r="S210" s="1"/>
  <c r="S209" s="1"/>
  <c r="I214"/>
  <c r="P214"/>
  <c r="R214" s="1"/>
  <c r="R213" s="1"/>
  <c r="R212" s="1"/>
  <c r="R211" s="1"/>
  <c r="R210" s="1"/>
  <c r="R209" s="1"/>
  <c r="G220"/>
  <c r="G219" s="1"/>
  <c r="G218" s="1"/>
  <c r="G217" s="1"/>
  <c r="G216" s="1"/>
  <c r="G215" s="1"/>
  <c r="H220"/>
  <c r="H219" s="1"/>
  <c r="H218" s="1"/>
  <c r="H217" s="1"/>
  <c r="H216" s="1"/>
  <c r="H215" s="1"/>
  <c r="J219"/>
  <c r="J218" s="1"/>
  <c r="J217" s="1"/>
  <c r="J216" s="1"/>
  <c r="J215" s="1"/>
  <c r="N219"/>
  <c r="N218" s="1"/>
  <c r="N217" s="1"/>
  <c r="N216" s="1"/>
  <c r="N215" s="1"/>
  <c r="O219"/>
  <c r="O218" s="1"/>
  <c r="O217" s="1"/>
  <c r="O216" s="1"/>
  <c r="O215" s="1"/>
  <c r="Q219"/>
  <c r="Q218" s="1"/>
  <c r="Q217" s="1"/>
  <c r="Q216" s="1"/>
  <c r="Q215" s="1"/>
  <c r="S219"/>
  <c r="S218" s="1"/>
  <c r="S217" s="1"/>
  <c r="S216" s="1"/>
  <c r="S215" s="1"/>
  <c r="I221"/>
  <c r="P221"/>
  <c r="I222"/>
  <c r="K222" s="1"/>
  <c r="M222" s="1"/>
  <c r="P222"/>
  <c r="R222" s="1"/>
  <c r="I224"/>
  <c r="K224" s="1"/>
  <c r="M224" s="1"/>
  <c r="P224"/>
  <c r="R224" s="1"/>
  <c r="G230"/>
  <c r="G229" s="1"/>
  <c r="G228" s="1"/>
  <c r="H230"/>
  <c r="H229" s="1"/>
  <c r="H228" s="1"/>
  <c r="I230"/>
  <c r="I229" s="1"/>
  <c r="I228" s="1"/>
  <c r="J230"/>
  <c r="J229" s="1"/>
  <c r="J228" s="1"/>
  <c r="K230"/>
  <c r="K229" s="1"/>
  <c r="K228" s="1"/>
  <c r="N230"/>
  <c r="N229" s="1"/>
  <c r="N228" s="1"/>
  <c r="O230"/>
  <c r="O229" s="1"/>
  <c r="O228" s="1"/>
  <c r="P230"/>
  <c r="P229" s="1"/>
  <c r="P228" s="1"/>
  <c r="Q230"/>
  <c r="Q229" s="1"/>
  <c r="Q228" s="1"/>
  <c r="R230"/>
  <c r="R229" s="1"/>
  <c r="R228" s="1"/>
  <c r="S230"/>
  <c r="S229" s="1"/>
  <c r="S228" s="1"/>
  <c r="G233"/>
  <c r="G232" s="1"/>
  <c r="H233"/>
  <c r="H232" s="1"/>
  <c r="J233"/>
  <c r="J232" s="1"/>
  <c r="N233"/>
  <c r="N232" s="1"/>
  <c r="O233"/>
  <c r="O232" s="1"/>
  <c r="Q233"/>
  <c r="Q232" s="1"/>
  <c r="S233"/>
  <c r="S232" s="1"/>
  <c r="I234"/>
  <c r="K234" s="1"/>
  <c r="P234"/>
  <c r="R234" s="1"/>
  <c r="R233" s="1"/>
  <c r="R232" s="1"/>
  <c r="G239"/>
  <c r="G238" s="1"/>
  <c r="H239"/>
  <c r="H238" s="1"/>
  <c r="I239"/>
  <c r="I238" s="1"/>
  <c r="J239"/>
  <c r="J238" s="1"/>
  <c r="K239"/>
  <c r="K238" s="1"/>
  <c r="N239"/>
  <c r="N238" s="1"/>
  <c r="O239"/>
  <c r="O238" s="1"/>
  <c r="P239"/>
  <c r="P238" s="1"/>
  <c r="Q239"/>
  <c r="Q238" s="1"/>
  <c r="R239"/>
  <c r="R238" s="1"/>
  <c r="S239"/>
  <c r="S238" s="1"/>
  <c r="G242"/>
  <c r="G241" s="1"/>
  <c r="H242"/>
  <c r="H241" s="1"/>
  <c r="J242"/>
  <c r="J241" s="1"/>
  <c r="N242"/>
  <c r="N241" s="1"/>
  <c r="O242"/>
  <c r="O241" s="1"/>
  <c r="Q242"/>
  <c r="Q241" s="1"/>
  <c r="S242"/>
  <c r="S241" s="1"/>
  <c r="I243"/>
  <c r="K243" s="1"/>
  <c r="P243"/>
  <c r="R243" s="1"/>
  <c r="R242" s="1"/>
  <c r="R241" s="1"/>
  <c r="G247"/>
  <c r="G246" s="1"/>
  <c r="G245" s="1"/>
  <c r="H247"/>
  <c r="H246" s="1"/>
  <c r="H245" s="1"/>
  <c r="J247"/>
  <c r="J246" s="1"/>
  <c r="J245" s="1"/>
  <c r="N247"/>
  <c r="N246" s="1"/>
  <c r="N245" s="1"/>
  <c r="O247"/>
  <c r="O246" s="1"/>
  <c r="O245" s="1"/>
  <c r="Q247"/>
  <c r="Q246" s="1"/>
  <c r="Q245" s="1"/>
  <c r="S247"/>
  <c r="S246" s="1"/>
  <c r="S245" s="1"/>
  <c r="I248"/>
  <c r="I247" s="1"/>
  <c r="I246" s="1"/>
  <c r="I245" s="1"/>
  <c r="K248"/>
  <c r="P248"/>
  <c r="R248" s="1"/>
  <c r="R247" s="1"/>
  <c r="R246" s="1"/>
  <c r="R245" s="1"/>
  <c r="J251"/>
  <c r="O251"/>
  <c r="Q251"/>
  <c r="G252"/>
  <c r="H252"/>
  <c r="H251" s="1"/>
  <c r="N252"/>
  <c r="N251" s="1"/>
  <c r="S252"/>
  <c r="I253"/>
  <c r="K253" s="1"/>
  <c r="M253" s="1"/>
  <c r="P253"/>
  <c r="R253" s="1"/>
  <c r="G254"/>
  <c r="H254"/>
  <c r="I254"/>
  <c r="J254"/>
  <c r="K254"/>
  <c r="N254"/>
  <c r="O254"/>
  <c r="P254"/>
  <c r="Q254"/>
  <c r="R254"/>
  <c r="S254"/>
  <c r="G259"/>
  <c r="H259"/>
  <c r="I259"/>
  <c r="J259"/>
  <c r="K259"/>
  <c r="N259"/>
  <c r="O259"/>
  <c r="P259"/>
  <c r="Q259"/>
  <c r="R259"/>
  <c r="S259"/>
  <c r="G261"/>
  <c r="H261"/>
  <c r="I261"/>
  <c r="J261"/>
  <c r="K261"/>
  <c r="N261"/>
  <c r="O261"/>
  <c r="P261"/>
  <c r="Q261"/>
  <c r="R261"/>
  <c r="S261"/>
  <c r="G264"/>
  <c r="H264"/>
  <c r="J264"/>
  <c r="N264"/>
  <c r="O264"/>
  <c r="Q264"/>
  <c r="S264"/>
  <c r="I265"/>
  <c r="I264" s="1"/>
  <c r="P265"/>
  <c r="R265" s="1"/>
  <c r="R264" s="1"/>
  <c r="G266"/>
  <c r="J266"/>
  <c r="N266"/>
  <c r="O266"/>
  <c r="P266"/>
  <c r="Q266"/>
  <c r="R266"/>
  <c r="S266"/>
  <c r="H267"/>
  <c r="H266" s="1"/>
  <c r="G269"/>
  <c r="H269"/>
  <c r="I269"/>
  <c r="J269"/>
  <c r="K269"/>
  <c r="N269"/>
  <c r="O269"/>
  <c r="P269"/>
  <c r="Q269"/>
  <c r="R269"/>
  <c r="S269"/>
  <c r="G273"/>
  <c r="G272" s="1"/>
  <c r="J273"/>
  <c r="J272" s="1"/>
  <c r="N273"/>
  <c r="N272" s="1"/>
  <c r="O273"/>
  <c r="O272" s="1"/>
  <c r="Q273"/>
  <c r="Q272" s="1"/>
  <c r="S273"/>
  <c r="S272" s="1"/>
  <c r="I274"/>
  <c r="K274" s="1"/>
  <c r="M274" s="1"/>
  <c r="P274"/>
  <c r="H275"/>
  <c r="H273" s="1"/>
  <c r="H272" s="1"/>
  <c r="P275"/>
  <c r="R275" s="1"/>
  <c r="G277"/>
  <c r="G276" s="1"/>
  <c r="H277"/>
  <c r="H276" s="1"/>
  <c r="J277"/>
  <c r="J276" s="1"/>
  <c r="N277"/>
  <c r="N276" s="1"/>
  <c r="O277"/>
  <c r="O276" s="1"/>
  <c r="Q277"/>
  <c r="Q276" s="1"/>
  <c r="S277"/>
  <c r="S276" s="1"/>
  <c r="I278"/>
  <c r="K278" s="1"/>
  <c r="P278"/>
  <c r="P277" s="1"/>
  <c r="P276" s="1"/>
  <c r="G282"/>
  <c r="H282"/>
  <c r="I282"/>
  <c r="J282"/>
  <c r="K282"/>
  <c r="N282"/>
  <c r="O282"/>
  <c r="P282"/>
  <c r="Q282"/>
  <c r="R282"/>
  <c r="S282"/>
  <c r="G285"/>
  <c r="H285"/>
  <c r="J285"/>
  <c r="N285"/>
  <c r="O285"/>
  <c r="O281" s="1"/>
  <c r="Q285"/>
  <c r="Q281" s="1"/>
  <c r="S285"/>
  <c r="S281" s="1"/>
  <c r="I286"/>
  <c r="P286"/>
  <c r="P285" s="1"/>
  <c r="P281" s="1"/>
  <c r="G287"/>
  <c r="J287"/>
  <c r="H288"/>
  <c r="H287" s="1"/>
  <c r="P288"/>
  <c r="R288" s="1"/>
  <c r="G289"/>
  <c r="J289"/>
  <c r="N289"/>
  <c r="H290"/>
  <c r="P290"/>
  <c r="R290"/>
  <c r="G291"/>
  <c r="J291"/>
  <c r="N291"/>
  <c r="H292"/>
  <c r="H291" s="1"/>
  <c r="P292"/>
  <c r="R292" s="1"/>
  <c r="G294"/>
  <c r="G293" s="1"/>
  <c r="J294"/>
  <c r="J293" s="1"/>
  <c r="N294"/>
  <c r="N293" s="1"/>
  <c r="O294"/>
  <c r="O293" s="1"/>
  <c r="Q294"/>
  <c r="Q293" s="1"/>
  <c r="S294"/>
  <c r="S293" s="1"/>
  <c r="H295"/>
  <c r="I295" s="1"/>
  <c r="P295"/>
  <c r="I296"/>
  <c r="K296" s="1"/>
  <c r="M296" s="1"/>
  <c r="P296"/>
  <c r="R296" s="1"/>
  <c r="I297"/>
  <c r="K297" s="1"/>
  <c r="M297" s="1"/>
  <c r="P297"/>
  <c r="R297" s="1"/>
  <c r="G301"/>
  <c r="G300" s="1"/>
  <c r="H301"/>
  <c r="H300" s="1"/>
  <c r="I301"/>
  <c r="I300" s="1"/>
  <c r="J301"/>
  <c r="J300" s="1"/>
  <c r="K301"/>
  <c r="K300" s="1"/>
  <c r="N301"/>
  <c r="N300" s="1"/>
  <c r="O301"/>
  <c r="O300" s="1"/>
  <c r="P301"/>
  <c r="P300" s="1"/>
  <c r="Q301"/>
  <c r="Q300" s="1"/>
  <c r="R301"/>
  <c r="R300" s="1"/>
  <c r="S301"/>
  <c r="S300" s="1"/>
  <c r="G304"/>
  <c r="J304"/>
  <c r="N304"/>
  <c r="O304"/>
  <c r="Q304"/>
  <c r="S304"/>
  <c r="H305"/>
  <c r="I305" s="1"/>
  <c r="P305"/>
  <c r="G306"/>
  <c r="H306"/>
  <c r="J306"/>
  <c r="N306"/>
  <c r="O306"/>
  <c r="Q306"/>
  <c r="S306"/>
  <c r="I307"/>
  <c r="K307" s="1"/>
  <c r="P307"/>
  <c r="P306" s="1"/>
  <c r="H308"/>
  <c r="J308"/>
  <c r="N308"/>
  <c r="O308"/>
  <c r="Q308"/>
  <c r="S308"/>
  <c r="I309"/>
  <c r="K309" s="1"/>
  <c r="M309" s="1"/>
  <c r="P309"/>
  <c r="R309" s="1"/>
  <c r="G310"/>
  <c r="P310"/>
  <c r="R310" s="1"/>
  <c r="G311"/>
  <c r="J311"/>
  <c r="N311"/>
  <c r="O311"/>
  <c r="Q311"/>
  <c r="S311"/>
  <c r="H312"/>
  <c r="P312"/>
  <c r="P311" s="1"/>
  <c r="J313"/>
  <c r="N313"/>
  <c r="O313"/>
  <c r="Q313"/>
  <c r="S313"/>
  <c r="H314"/>
  <c r="P314"/>
  <c r="R314" s="1"/>
  <c r="I315"/>
  <c r="K315" s="1"/>
  <c r="M315" s="1"/>
  <c r="P315"/>
  <c r="R315" s="1"/>
  <c r="G316"/>
  <c r="G313" s="1"/>
  <c r="H316"/>
  <c r="P316"/>
  <c r="R316" s="1"/>
  <c r="G317"/>
  <c r="J317"/>
  <c r="N317"/>
  <c r="O317"/>
  <c r="Q317"/>
  <c r="S317"/>
  <c r="H318"/>
  <c r="I318" s="1"/>
  <c r="K318" s="1"/>
  <c r="M318" s="1"/>
  <c r="P318"/>
  <c r="P317" s="1"/>
  <c r="H319"/>
  <c r="I319" s="1"/>
  <c r="K319" s="1"/>
  <c r="M319" s="1"/>
  <c r="G322"/>
  <c r="H322"/>
  <c r="J322"/>
  <c r="N322"/>
  <c r="O322"/>
  <c r="Q322"/>
  <c r="S322"/>
  <c r="I323"/>
  <c r="I322" s="1"/>
  <c r="P323"/>
  <c r="P322" s="1"/>
  <c r="G324"/>
  <c r="H324"/>
  <c r="J324"/>
  <c r="N324"/>
  <c r="O324"/>
  <c r="Q324"/>
  <c r="S324"/>
  <c r="I325"/>
  <c r="K325" s="1"/>
  <c r="P325"/>
  <c r="P324" s="1"/>
  <c r="G326"/>
  <c r="H326"/>
  <c r="I326"/>
  <c r="J326"/>
  <c r="K326"/>
  <c r="N326"/>
  <c r="O326"/>
  <c r="Q326"/>
  <c r="S326"/>
  <c r="P327"/>
  <c r="R327" s="1"/>
  <c r="R326" s="1"/>
  <c r="Q331"/>
  <c r="Q330" s="1"/>
  <c r="Q329" s="1"/>
  <c r="Q328" s="1"/>
  <c r="T100" l="1"/>
  <c r="T99" s="1"/>
  <c r="K179"/>
  <c r="M180"/>
  <c r="M179" s="1"/>
  <c r="K324"/>
  <c r="M325"/>
  <c r="M324" s="1"/>
  <c r="K277"/>
  <c r="K276" s="1"/>
  <c r="M278"/>
  <c r="M277" s="1"/>
  <c r="M276" s="1"/>
  <c r="K242"/>
  <c r="K241" s="1"/>
  <c r="M243"/>
  <c r="M242" s="1"/>
  <c r="M241" s="1"/>
  <c r="M237" s="1"/>
  <c r="M236" s="1"/>
  <c r="K233"/>
  <c r="K232" s="1"/>
  <c r="M234"/>
  <c r="M233" s="1"/>
  <c r="M232" s="1"/>
  <c r="M227" s="1"/>
  <c r="M226" s="1"/>
  <c r="K185"/>
  <c r="M186"/>
  <c r="M185" s="1"/>
  <c r="K306"/>
  <c r="M307"/>
  <c r="M306" s="1"/>
  <c r="K174"/>
  <c r="M175"/>
  <c r="M174" s="1"/>
  <c r="K109"/>
  <c r="M110"/>
  <c r="M109" s="1"/>
  <c r="M100" s="1"/>
  <c r="M99" s="1"/>
  <c r="K43"/>
  <c r="M44"/>
  <c r="M43" s="1"/>
  <c r="K247"/>
  <c r="K246" s="1"/>
  <c r="K245" s="1"/>
  <c r="M248"/>
  <c r="M247" s="1"/>
  <c r="M246" s="1"/>
  <c r="M245" s="1"/>
  <c r="M194"/>
  <c r="M317"/>
  <c r="M273"/>
  <c r="M272" s="1"/>
  <c r="K166"/>
  <c r="K165" s="1"/>
  <c r="K164" s="1"/>
  <c r="K163" s="1"/>
  <c r="M167"/>
  <c r="M166" s="1"/>
  <c r="M165" s="1"/>
  <c r="M164" s="1"/>
  <c r="M163" s="1"/>
  <c r="M15"/>
  <c r="H42"/>
  <c r="H41" s="1"/>
  <c r="H40" s="1"/>
  <c r="Q11"/>
  <c r="Q10" s="1"/>
  <c r="Q9" s="1"/>
  <c r="Q8" s="1"/>
  <c r="Q7" s="1"/>
  <c r="I220"/>
  <c r="K72"/>
  <c r="T42"/>
  <c r="T41" s="1"/>
  <c r="T40" s="1"/>
  <c r="T127"/>
  <c r="T126" s="1"/>
  <c r="T117" s="1"/>
  <c r="T111" s="1"/>
  <c r="P220"/>
  <c r="Q303"/>
  <c r="Q299" s="1"/>
  <c r="Q298" s="1"/>
  <c r="N26"/>
  <c r="U170"/>
  <c r="U169" s="1"/>
  <c r="U168" s="1"/>
  <c r="U263"/>
  <c r="P264"/>
  <c r="P263" s="1"/>
  <c r="O303"/>
  <c r="O299" s="1"/>
  <c r="O298" s="1"/>
  <c r="O49"/>
  <c r="O48" s="1"/>
  <c r="O47" s="1"/>
  <c r="N303"/>
  <c r="I267"/>
  <c r="I266" s="1"/>
  <c r="I263" s="1"/>
  <c r="R132"/>
  <c r="R131" s="1"/>
  <c r="U42"/>
  <c r="U41" s="1"/>
  <c r="U40" s="1"/>
  <c r="T303"/>
  <c r="T299" s="1"/>
  <c r="T298" s="1"/>
  <c r="S303"/>
  <c r="S299" s="1"/>
  <c r="S298" s="1"/>
  <c r="J303"/>
  <c r="J299" s="1"/>
  <c r="J298" s="1"/>
  <c r="S263"/>
  <c r="S258" s="1"/>
  <c r="S257" s="1"/>
  <c r="R189"/>
  <c r="R188" s="1"/>
  <c r="Q136"/>
  <c r="Q135" s="1"/>
  <c r="Q134" s="1"/>
  <c r="U88"/>
  <c r="U87" s="1"/>
  <c r="I294"/>
  <c r="I293" s="1"/>
  <c r="K295"/>
  <c r="Q250"/>
  <c r="Q249" s="1"/>
  <c r="Q244" s="1"/>
  <c r="O237"/>
  <c r="O236" s="1"/>
  <c r="G136"/>
  <c r="G135" s="1"/>
  <c r="G134" s="1"/>
  <c r="G133" s="1"/>
  <c r="Q127"/>
  <c r="Q126" s="1"/>
  <c r="O70"/>
  <c r="O69" s="1"/>
  <c r="I15"/>
  <c r="T49"/>
  <c r="T48" s="1"/>
  <c r="T47" s="1"/>
  <c r="U11"/>
  <c r="U10" s="1"/>
  <c r="U9" s="1"/>
  <c r="U8" s="1"/>
  <c r="U7" s="1"/>
  <c r="I316"/>
  <c r="K316" s="1"/>
  <c r="M316" s="1"/>
  <c r="R312"/>
  <c r="R311" s="1"/>
  <c r="H294"/>
  <c r="H293" s="1"/>
  <c r="I275"/>
  <c r="K275" s="1"/>
  <c r="M275" s="1"/>
  <c r="N250"/>
  <c r="N249" s="1"/>
  <c r="N244" s="1"/>
  <c r="O250"/>
  <c r="O249" s="1"/>
  <c r="O244" s="1"/>
  <c r="O235" s="1"/>
  <c r="I202"/>
  <c r="K202" s="1"/>
  <c r="R146"/>
  <c r="R145" s="1"/>
  <c r="R110"/>
  <c r="R109" s="1"/>
  <c r="R100" s="1"/>
  <c r="R99" s="1"/>
  <c r="R88"/>
  <c r="R87" s="1"/>
  <c r="I85"/>
  <c r="K85" s="1"/>
  <c r="M85" s="1"/>
  <c r="M84" s="1"/>
  <c r="M83" s="1"/>
  <c r="H70"/>
  <c r="H69" s="1"/>
  <c r="K53"/>
  <c r="K323"/>
  <c r="P308"/>
  <c r="O280"/>
  <c r="O279" s="1"/>
  <c r="K265"/>
  <c r="R208"/>
  <c r="R207" s="1"/>
  <c r="R206" s="1"/>
  <c r="R205" s="1"/>
  <c r="R204" s="1"/>
  <c r="R203" s="1"/>
  <c r="S187"/>
  <c r="K161"/>
  <c r="K60"/>
  <c r="R44"/>
  <c r="R43" s="1"/>
  <c r="Q42"/>
  <c r="Q41" s="1"/>
  <c r="Q40" s="1"/>
  <c r="I43"/>
  <c r="T56"/>
  <c r="T55" s="1"/>
  <c r="U100"/>
  <c r="U99" s="1"/>
  <c r="R24"/>
  <c r="R22" s="1"/>
  <c r="R21" s="1"/>
  <c r="R20" s="1"/>
  <c r="N11"/>
  <c r="N10" s="1"/>
  <c r="N9" s="1"/>
  <c r="N8" s="1"/>
  <c r="N7" s="1"/>
  <c r="T280"/>
  <c r="T279" s="1"/>
  <c r="Q280"/>
  <c r="Q279" s="1"/>
  <c r="N281"/>
  <c r="N280" s="1"/>
  <c r="N279" s="1"/>
  <c r="J187"/>
  <c r="J182" s="1"/>
  <c r="J181" s="1"/>
  <c r="N170"/>
  <c r="N169" s="1"/>
  <c r="N168" s="1"/>
  <c r="N146"/>
  <c r="N145" s="1"/>
  <c r="H127"/>
  <c r="H126" s="1"/>
  <c r="H117" s="1"/>
  <c r="H111" s="1"/>
  <c r="Q117"/>
  <c r="Q111" s="1"/>
  <c r="S100"/>
  <c r="S99" s="1"/>
  <c r="P96"/>
  <c r="P95" s="1"/>
  <c r="P94" s="1"/>
  <c r="P59"/>
  <c r="S56"/>
  <c r="O42"/>
  <c r="O41" s="1"/>
  <c r="O40" s="1"/>
  <c r="T26"/>
  <c r="U146"/>
  <c r="U145" s="1"/>
  <c r="U133" s="1"/>
  <c r="S227"/>
  <c r="S226" s="1"/>
  <c r="K29"/>
  <c r="K28" s="1"/>
  <c r="K27" s="1"/>
  <c r="R313"/>
  <c r="H304"/>
  <c r="O263"/>
  <c r="I185"/>
  <c r="R180"/>
  <c r="R179" s="1"/>
  <c r="Q170"/>
  <c r="Q169" s="1"/>
  <c r="Q168" s="1"/>
  <c r="Q162" s="1"/>
  <c r="I179"/>
  <c r="S146"/>
  <c r="S145" s="1"/>
  <c r="K132"/>
  <c r="I109"/>
  <c r="S49"/>
  <c r="S48" s="1"/>
  <c r="S47" s="1"/>
  <c r="Q49"/>
  <c r="Q48" s="1"/>
  <c r="Q47" s="1"/>
  <c r="G42"/>
  <c r="G41" s="1"/>
  <c r="G40" s="1"/>
  <c r="K24"/>
  <c r="G11"/>
  <c r="G10" s="1"/>
  <c r="G9" s="1"/>
  <c r="G8" s="1"/>
  <c r="G7" s="1"/>
  <c r="U63"/>
  <c r="U56" s="1"/>
  <c r="U55" s="1"/>
  <c r="U191"/>
  <c r="U187" s="1"/>
  <c r="U182" s="1"/>
  <c r="U181" s="1"/>
  <c r="J227"/>
  <c r="J226" s="1"/>
  <c r="G170"/>
  <c r="G169" s="1"/>
  <c r="G168" s="1"/>
  <c r="T237"/>
  <c r="T236" s="1"/>
  <c r="P326"/>
  <c r="R325"/>
  <c r="R324" s="1"/>
  <c r="R318"/>
  <c r="R317" s="1"/>
  <c r="R286"/>
  <c r="R285" s="1"/>
  <c r="R281" s="1"/>
  <c r="J250"/>
  <c r="J249" s="1"/>
  <c r="J244" s="1"/>
  <c r="P252"/>
  <c r="R252" s="1"/>
  <c r="R251" s="1"/>
  <c r="R250" s="1"/>
  <c r="R249" s="1"/>
  <c r="R244" s="1"/>
  <c r="G227"/>
  <c r="G226" s="1"/>
  <c r="N187"/>
  <c r="N182" s="1"/>
  <c r="N181" s="1"/>
  <c r="K151"/>
  <c r="P116"/>
  <c r="P115" s="1"/>
  <c r="P114" s="1"/>
  <c r="P113" s="1"/>
  <c r="P112" s="1"/>
  <c r="P100"/>
  <c r="P99" s="1"/>
  <c r="R72"/>
  <c r="R71" s="1"/>
  <c r="S70"/>
  <c r="J70"/>
  <c r="P68"/>
  <c r="P67" s="1"/>
  <c r="P66" s="1"/>
  <c r="P51"/>
  <c r="R51" s="1"/>
  <c r="R50" s="1"/>
  <c r="J11"/>
  <c r="J10" s="1"/>
  <c r="J9" s="1"/>
  <c r="J8" s="1"/>
  <c r="J7" s="1"/>
  <c r="T11"/>
  <c r="T10" s="1"/>
  <c r="T9" s="1"/>
  <c r="T8" s="1"/>
  <c r="T7" s="1"/>
  <c r="U29"/>
  <c r="U28" s="1"/>
  <c r="U27" s="1"/>
  <c r="U51"/>
  <c r="U50" s="1"/>
  <c r="U49" s="1"/>
  <c r="U48" s="1"/>
  <c r="U47" s="1"/>
  <c r="T70"/>
  <c r="T69" s="1"/>
  <c r="U84"/>
  <c r="U83" s="1"/>
  <c r="T250"/>
  <c r="T249" s="1"/>
  <c r="T244" s="1"/>
  <c r="Q227"/>
  <c r="Q226" s="1"/>
  <c r="P194"/>
  <c r="R195"/>
  <c r="R194" s="1"/>
  <c r="I194"/>
  <c r="I124"/>
  <c r="I123" s="1"/>
  <c r="I122" s="1"/>
  <c r="K125"/>
  <c r="N299"/>
  <c r="N298" s="1"/>
  <c r="G281"/>
  <c r="G280" s="1"/>
  <c r="G279" s="1"/>
  <c r="P233"/>
  <c r="P232" s="1"/>
  <c r="P227" s="1"/>
  <c r="P226" s="1"/>
  <c r="K194"/>
  <c r="P191"/>
  <c r="P185"/>
  <c r="Q82"/>
  <c r="I12"/>
  <c r="I11" s="1"/>
  <c r="I10" s="1"/>
  <c r="I9" s="1"/>
  <c r="I8" s="1"/>
  <c r="I7" s="1"/>
  <c r="K13"/>
  <c r="T82"/>
  <c r="H317"/>
  <c r="N237"/>
  <c r="N236" s="1"/>
  <c r="I155"/>
  <c r="I154" s="1"/>
  <c r="I153" s="1"/>
  <c r="I152" s="1"/>
  <c r="K156"/>
  <c r="I324"/>
  <c r="R308"/>
  <c r="G263"/>
  <c r="H250"/>
  <c r="H249" s="1"/>
  <c r="H244" s="1"/>
  <c r="R237"/>
  <c r="R236" s="1"/>
  <c r="I242"/>
  <c r="I241" s="1"/>
  <c r="I237" s="1"/>
  <c r="I236" s="1"/>
  <c r="Q237"/>
  <c r="Q236" s="1"/>
  <c r="K237"/>
  <c r="K236" s="1"/>
  <c r="G237"/>
  <c r="G236" s="1"/>
  <c r="K227"/>
  <c r="K226" s="1"/>
  <c r="I219"/>
  <c r="I218" s="1"/>
  <c r="I217" s="1"/>
  <c r="I216" s="1"/>
  <c r="I215" s="1"/>
  <c r="P213"/>
  <c r="P212" s="1"/>
  <c r="P211" s="1"/>
  <c r="P210" s="1"/>
  <c r="P209" s="1"/>
  <c r="H187"/>
  <c r="H182" s="1"/>
  <c r="H181" s="1"/>
  <c r="H162" s="1"/>
  <c r="S182"/>
  <c r="S181" s="1"/>
  <c r="J170"/>
  <c r="J169" s="1"/>
  <c r="J168" s="1"/>
  <c r="I166"/>
  <c r="I165" s="1"/>
  <c r="I164" s="1"/>
  <c r="I163" s="1"/>
  <c r="N136"/>
  <c r="N135" s="1"/>
  <c r="N134" s="1"/>
  <c r="K129"/>
  <c r="M129" s="1"/>
  <c r="M128" s="1"/>
  <c r="I128"/>
  <c r="I127" s="1"/>
  <c r="I126" s="1"/>
  <c r="N127"/>
  <c r="N126" s="1"/>
  <c r="N117" s="1"/>
  <c r="N111" s="1"/>
  <c r="I73"/>
  <c r="I70" s="1"/>
  <c r="P15"/>
  <c r="R16"/>
  <c r="R15" s="1"/>
  <c r="P313"/>
  <c r="I188"/>
  <c r="R323"/>
  <c r="R322" s="1"/>
  <c r="R307"/>
  <c r="R306" s="1"/>
  <c r="I306"/>
  <c r="K305"/>
  <c r="P294"/>
  <c r="P293" s="1"/>
  <c r="P280" s="1"/>
  <c r="P279" s="1"/>
  <c r="I292"/>
  <c r="K292" s="1"/>
  <c r="R278"/>
  <c r="R277" s="1"/>
  <c r="R276" s="1"/>
  <c r="I277"/>
  <c r="I276" s="1"/>
  <c r="J263"/>
  <c r="J258" s="1"/>
  <c r="J257" s="1"/>
  <c r="K267"/>
  <c r="Q263"/>
  <c r="Q258" s="1"/>
  <c r="Q257" s="1"/>
  <c r="S251"/>
  <c r="S250" s="1"/>
  <c r="S249" s="1"/>
  <c r="S244" s="1"/>
  <c r="U252"/>
  <c r="U251" s="1"/>
  <c r="U250" s="1"/>
  <c r="U249" s="1"/>
  <c r="U244" s="1"/>
  <c r="I252"/>
  <c r="I251" s="1"/>
  <c r="I250" s="1"/>
  <c r="I249" s="1"/>
  <c r="I244" s="1"/>
  <c r="G251"/>
  <c r="G250" s="1"/>
  <c r="G249" s="1"/>
  <c r="G244" s="1"/>
  <c r="H237"/>
  <c r="H236" s="1"/>
  <c r="J237"/>
  <c r="J236" s="1"/>
  <c r="N227"/>
  <c r="N226" s="1"/>
  <c r="K208"/>
  <c r="K189"/>
  <c r="O187"/>
  <c r="O182" s="1"/>
  <c r="O181" s="1"/>
  <c r="S127"/>
  <c r="S126" s="1"/>
  <c r="S117" s="1"/>
  <c r="S111" s="1"/>
  <c r="J100"/>
  <c r="J99" s="1"/>
  <c r="I96"/>
  <c r="I95" s="1"/>
  <c r="I94" s="1"/>
  <c r="K97"/>
  <c r="S92"/>
  <c r="S91" s="1"/>
  <c r="U93"/>
  <c r="U92" s="1"/>
  <c r="U91" s="1"/>
  <c r="H63"/>
  <c r="H56" s="1"/>
  <c r="I64"/>
  <c r="P57"/>
  <c r="N42"/>
  <c r="N41" s="1"/>
  <c r="N40" s="1"/>
  <c r="T227"/>
  <c r="T226" s="1"/>
  <c r="J146"/>
  <c r="J145" s="1"/>
  <c r="O146"/>
  <c r="O145" s="1"/>
  <c r="O133" s="1"/>
  <c r="J136"/>
  <c r="J135" s="1"/>
  <c r="J134" s="1"/>
  <c r="R125"/>
  <c r="R124" s="1"/>
  <c r="R123" s="1"/>
  <c r="R122" s="1"/>
  <c r="I100"/>
  <c r="I99" s="1"/>
  <c r="N100"/>
  <c r="N99" s="1"/>
  <c r="H100"/>
  <c r="H99" s="1"/>
  <c r="Q100"/>
  <c r="Q99" s="1"/>
  <c r="G100"/>
  <c r="G99" s="1"/>
  <c r="R97"/>
  <c r="R96" s="1"/>
  <c r="R95" s="1"/>
  <c r="R94" s="1"/>
  <c r="P93"/>
  <c r="P92" s="1"/>
  <c r="P91" s="1"/>
  <c r="P88"/>
  <c r="P87" s="1"/>
  <c r="S78"/>
  <c r="S77" s="1"/>
  <c r="S69" s="1"/>
  <c r="Q70"/>
  <c r="Q69" s="1"/>
  <c r="R46"/>
  <c r="R45" s="1"/>
  <c r="K15"/>
  <c r="S11"/>
  <c r="S10" s="1"/>
  <c r="S9" s="1"/>
  <c r="S8" s="1"/>
  <c r="S7" s="1"/>
  <c r="T146"/>
  <c r="T145" s="1"/>
  <c r="T187"/>
  <c r="T182" s="1"/>
  <c r="T181" s="1"/>
  <c r="U219"/>
  <c r="U218" s="1"/>
  <c r="U217" s="1"/>
  <c r="U216" s="1"/>
  <c r="U215" s="1"/>
  <c r="P148"/>
  <c r="P147" s="1"/>
  <c r="H146"/>
  <c r="H145" s="1"/>
  <c r="P136"/>
  <c r="P135" s="1"/>
  <c r="P134" s="1"/>
  <c r="H136"/>
  <c r="H135" s="1"/>
  <c r="H134" s="1"/>
  <c r="O100"/>
  <c r="O99" s="1"/>
  <c r="P34"/>
  <c r="P33" s="1"/>
  <c r="P32" s="1"/>
  <c r="O26"/>
  <c r="H11"/>
  <c r="H10" s="1"/>
  <c r="H9" s="1"/>
  <c r="H8" s="1"/>
  <c r="H7" s="1"/>
  <c r="U73"/>
  <c r="U70" s="1"/>
  <c r="U69" s="1"/>
  <c r="Q187"/>
  <c r="Q182" s="1"/>
  <c r="Q181" s="1"/>
  <c r="I174"/>
  <c r="I171"/>
  <c r="H170"/>
  <c r="H169" s="1"/>
  <c r="H168" s="1"/>
  <c r="S136"/>
  <c r="S135" s="1"/>
  <c r="S134" s="1"/>
  <c r="G127"/>
  <c r="G126" s="1"/>
  <c r="G117" s="1"/>
  <c r="O127"/>
  <c r="O126" s="1"/>
  <c r="O117" s="1"/>
  <c r="O111" s="1"/>
  <c r="G82"/>
  <c r="H82"/>
  <c r="G70"/>
  <c r="G69" s="1"/>
  <c r="O56"/>
  <c r="O55" s="1"/>
  <c r="Q56"/>
  <c r="G56"/>
  <c r="G55" s="1"/>
  <c r="J56"/>
  <c r="J55" s="1"/>
  <c r="N49"/>
  <c r="N48" s="1"/>
  <c r="N47" s="1"/>
  <c r="J49"/>
  <c r="J48" s="1"/>
  <c r="J47" s="1"/>
  <c r="S42"/>
  <c r="S41" s="1"/>
  <c r="S40" s="1"/>
  <c r="I29"/>
  <c r="I28" s="1"/>
  <c r="I27" s="1"/>
  <c r="U96"/>
  <c r="U95" s="1"/>
  <c r="U94" s="1"/>
  <c r="U237"/>
  <c r="U236" s="1"/>
  <c r="T263"/>
  <c r="T258" s="1"/>
  <c r="T257" s="1"/>
  <c r="U273"/>
  <c r="U272" s="1"/>
  <c r="U258" s="1"/>
  <c r="U257" s="1"/>
  <c r="U313"/>
  <c r="Q55"/>
  <c r="U34"/>
  <c r="U33" s="1"/>
  <c r="U32" s="1"/>
  <c r="U128"/>
  <c r="U127" s="1"/>
  <c r="U126" s="1"/>
  <c r="U117" s="1"/>
  <c r="U111" s="1"/>
  <c r="T136"/>
  <c r="T135" s="1"/>
  <c r="T134" s="1"/>
  <c r="T170"/>
  <c r="T169" s="1"/>
  <c r="T168" s="1"/>
  <c r="U280"/>
  <c r="U279" s="1"/>
  <c r="G308"/>
  <c r="G303" s="1"/>
  <c r="G299" s="1"/>
  <c r="G298" s="1"/>
  <c r="I310"/>
  <c r="I290"/>
  <c r="H289"/>
  <c r="H281" s="1"/>
  <c r="H280" s="1"/>
  <c r="H279" s="1"/>
  <c r="K286"/>
  <c r="I285"/>
  <c r="O258"/>
  <c r="O257" s="1"/>
  <c r="K317"/>
  <c r="I317"/>
  <c r="S280"/>
  <c r="S279" s="1"/>
  <c r="R274"/>
  <c r="R273" s="1"/>
  <c r="R272" s="1"/>
  <c r="P273"/>
  <c r="P272" s="1"/>
  <c r="H263"/>
  <c r="H258" s="1"/>
  <c r="H257" s="1"/>
  <c r="S237"/>
  <c r="S236" s="1"/>
  <c r="H227"/>
  <c r="H226" s="1"/>
  <c r="R263"/>
  <c r="I314"/>
  <c r="H313"/>
  <c r="I304"/>
  <c r="I312"/>
  <c r="H311"/>
  <c r="P304"/>
  <c r="R305"/>
  <c r="R304" s="1"/>
  <c r="J281"/>
  <c r="J280" s="1"/>
  <c r="J279" s="1"/>
  <c r="K273"/>
  <c r="K272" s="1"/>
  <c r="N263"/>
  <c r="N258" s="1"/>
  <c r="N257" s="1"/>
  <c r="G258"/>
  <c r="G257" s="1"/>
  <c r="O227"/>
  <c r="O226" s="1"/>
  <c r="R227"/>
  <c r="R226" s="1"/>
  <c r="I233"/>
  <c r="I232" s="1"/>
  <c r="I227" s="1"/>
  <c r="I226" s="1"/>
  <c r="K214"/>
  <c r="I213"/>
  <c r="I212" s="1"/>
  <c r="I211" s="1"/>
  <c r="I210" s="1"/>
  <c r="I209" s="1"/>
  <c r="K35"/>
  <c r="M35" s="1"/>
  <c r="R172"/>
  <c r="R171" s="1"/>
  <c r="P171"/>
  <c r="P170" s="1"/>
  <c r="P169" s="1"/>
  <c r="P168" s="1"/>
  <c r="K149"/>
  <c r="I148"/>
  <c r="I147" s="1"/>
  <c r="I146" s="1"/>
  <c r="I145" s="1"/>
  <c r="R295"/>
  <c r="R294" s="1"/>
  <c r="R293" s="1"/>
  <c r="I288"/>
  <c r="P247"/>
  <c r="P246" s="1"/>
  <c r="P245" s="1"/>
  <c r="P242"/>
  <c r="P241" s="1"/>
  <c r="P237" s="1"/>
  <c r="P236" s="1"/>
  <c r="R184"/>
  <c r="R183" s="1"/>
  <c r="P183"/>
  <c r="O170"/>
  <c r="O169" s="1"/>
  <c r="O168" s="1"/>
  <c r="P201"/>
  <c r="P200" s="1"/>
  <c r="P199" s="1"/>
  <c r="P198" s="1"/>
  <c r="R202"/>
  <c r="R201" s="1"/>
  <c r="R200" s="1"/>
  <c r="R199" s="1"/>
  <c r="R198" s="1"/>
  <c r="K192"/>
  <c r="I191"/>
  <c r="R221"/>
  <c r="P219"/>
  <c r="P218" s="1"/>
  <c r="P217" s="1"/>
  <c r="P216" s="1"/>
  <c r="P215" s="1"/>
  <c r="R191"/>
  <c r="R187" s="1"/>
  <c r="G187"/>
  <c r="G182" s="1"/>
  <c r="G181" s="1"/>
  <c r="S170"/>
  <c r="S169" s="1"/>
  <c r="S168" s="1"/>
  <c r="S162" s="1"/>
  <c r="R167"/>
  <c r="R166" s="1"/>
  <c r="R165" s="1"/>
  <c r="R164" s="1"/>
  <c r="R163" s="1"/>
  <c r="P166"/>
  <c r="P165" s="1"/>
  <c r="P164" s="1"/>
  <c r="P163" s="1"/>
  <c r="Q146"/>
  <c r="Q145" s="1"/>
  <c r="K137"/>
  <c r="K136" s="1"/>
  <c r="K135" s="1"/>
  <c r="K134" s="1"/>
  <c r="R128"/>
  <c r="P128"/>
  <c r="P127" s="1"/>
  <c r="P126" s="1"/>
  <c r="P117" s="1"/>
  <c r="K221"/>
  <c r="M221" s="1"/>
  <c r="M220" s="1"/>
  <c r="M219" s="1"/>
  <c r="M218" s="1"/>
  <c r="M217" s="1"/>
  <c r="M216" s="1"/>
  <c r="M215" s="1"/>
  <c r="K184"/>
  <c r="K173"/>
  <c r="P160"/>
  <c r="P159" s="1"/>
  <c r="P158" s="1"/>
  <c r="P157" s="1"/>
  <c r="P155"/>
  <c r="P154" s="1"/>
  <c r="P153" s="1"/>
  <c r="P152" s="1"/>
  <c r="P150"/>
  <c r="G115"/>
  <c r="G114" s="1"/>
  <c r="G113" s="1"/>
  <c r="G112" s="1"/>
  <c r="I116"/>
  <c r="R74"/>
  <c r="R73" s="1"/>
  <c r="P73"/>
  <c r="P70" s="1"/>
  <c r="K58"/>
  <c r="I57"/>
  <c r="R139"/>
  <c r="R137" s="1"/>
  <c r="R136" s="1"/>
  <c r="R135" s="1"/>
  <c r="R134" s="1"/>
  <c r="R133" s="1"/>
  <c r="I137"/>
  <c r="I136" s="1"/>
  <c r="I135" s="1"/>
  <c r="I134" s="1"/>
  <c r="J69"/>
  <c r="P63"/>
  <c r="R64"/>
  <c r="R63" s="1"/>
  <c r="J127"/>
  <c r="J126" s="1"/>
  <c r="J117" s="1"/>
  <c r="J111" s="1"/>
  <c r="K100"/>
  <c r="K99" s="1"/>
  <c r="H96"/>
  <c r="H95" s="1"/>
  <c r="H94" s="1"/>
  <c r="S82"/>
  <c r="N82"/>
  <c r="N81" s="1"/>
  <c r="N80" s="1"/>
  <c r="N56"/>
  <c r="N55" s="1"/>
  <c r="S55"/>
  <c r="R53"/>
  <c r="R52" s="1"/>
  <c r="P52"/>
  <c r="S26"/>
  <c r="K89"/>
  <c r="I88"/>
  <c r="I87" s="1"/>
  <c r="P84"/>
  <c r="P83" s="1"/>
  <c r="R85"/>
  <c r="R84" s="1"/>
  <c r="R83" s="1"/>
  <c r="J82"/>
  <c r="N69"/>
  <c r="I68"/>
  <c r="H67"/>
  <c r="H66" s="1"/>
  <c r="K84"/>
  <c r="K83" s="1"/>
  <c r="O82"/>
  <c r="K79"/>
  <c r="I78"/>
  <c r="I77" s="1"/>
  <c r="R62"/>
  <c r="R61" s="1"/>
  <c r="P61"/>
  <c r="I93"/>
  <c r="P79"/>
  <c r="K74"/>
  <c r="K62"/>
  <c r="P42"/>
  <c r="P41" s="1"/>
  <c r="P40" s="1"/>
  <c r="R29"/>
  <c r="R28" s="1"/>
  <c r="R27" s="1"/>
  <c r="Q26"/>
  <c r="J26"/>
  <c r="R13"/>
  <c r="R12" s="1"/>
  <c r="P12"/>
  <c r="G50"/>
  <c r="G49" s="1"/>
  <c r="G48" s="1"/>
  <c r="G47" s="1"/>
  <c r="I51"/>
  <c r="I36"/>
  <c r="K36" s="1"/>
  <c r="M36" s="1"/>
  <c r="H34"/>
  <c r="H33" s="1"/>
  <c r="H32" s="1"/>
  <c r="H26" s="1"/>
  <c r="H49"/>
  <c r="H48" s="1"/>
  <c r="H47" s="1"/>
  <c r="K46"/>
  <c r="I45"/>
  <c r="I42" s="1"/>
  <c r="I41" s="1"/>
  <c r="I40" s="1"/>
  <c r="J42"/>
  <c r="J41" s="1"/>
  <c r="J40" s="1"/>
  <c r="R34"/>
  <c r="R33" s="1"/>
  <c r="R32" s="1"/>
  <c r="G26"/>
  <c r="O11"/>
  <c r="O10" s="1"/>
  <c r="O9" s="1"/>
  <c r="O8" s="1"/>
  <c r="O7" s="1"/>
  <c r="P29"/>
  <c r="P28" s="1"/>
  <c r="P27" s="1"/>
  <c r="J331"/>
  <c r="J330" s="1"/>
  <c r="J329" s="1"/>
  <c r="J328" s="1"/>
  <c r="H333"/>
  <c r="T81" l="1"/>
  <c r="T80" s="1"/>
  <c r="T18" s="1"/>
  <c r="S81"/>
  <c r="S80" s="1"/>
  <c r="J81"/>
  <c r="J80" s="1"/>
  <c r="K73"/>
  <c r="M74"/>
  <c r="M73" s="1"/>
  <c r="K88"/>
  <c r="K87" s="1"/>
  <c r="M89"/>
  <c r="M88" s="1"/>
  <c r="M87" s="1"/>
  <c r="K183"/>
  <c r="M184"/>
  <c r="M183" s="1"/>
  <c r="K96"/>
  <c r="K95" s="1"/>
  <c r="K94" s="1"/>
  <c r="M97"/>
  <c r="M96" s="1"/>
  <c r="M95" s="1"/>
  <c r="M94" s="1"/>
  <c r="K124"/>
  <c r="K123" s="1"/>
  <c r="K122" s="1"/>
  <c r="M125"/>
  <c r="M124" s="1"/>
  <c r="M123" s="1"/>
  <c r="M122" s="1"/>
  <c r="K150"/>
  <c r="M151"/>
  <c r="M150" s="1"/>
  <c r="K23"/>
  <c r="K22" s="1"/>
  <c r="K21" s="1"/>
  <c r="K20" s="1"/>
  <c r="M22"/>
  <c r="M21" s="1"/>
  <c r="M20" s="1"/>
  <c r="K201"/>
  <c r="K200" s="1"/>
  <c r="K199" s="1"/>
  <c r="K198" s="1"/>
  <c r="M202"/>
  <c r="M201" s="1"/>
  <c r="M200" s="1"/>
  <c r="M199" s="1"/>
  <c r="M198" s="1"/>
  <c r="K57"/>
  <c r="M58"/>
  <c r="M57" s="1"/>
  <c r="K213"/>
  <c r="K212" s="1"/>
  <c r="K211" s="1"/>
  <c r="K210" s="1"/>
  <c r="K209" s="1"/>
  <c r="M214"/>
  <c r="M213" s="1"/>
  <c r="M212" s="1"/>
  <c r="M211" s="1"/>
  <c r="M210" s="1"/>
  <c r="M209" s="1"/>
  <c r="K188"/>
  <c r="M189"/>
  <c r="M188" s="1"/>
  <c r="K131"/>
  <c r="K127" s="1"/>
  <c r="K126" s="1"/>
  <c r="K117" s="1"/>
  <c r="M132"/>
  <c r="M131" s="1"/>
  <c r="M127" s="1"/>
  <c r="M126" s="1"/>
  <c r="K322"/>
  <c r="M323"/>
  <c r="M322" s="1"/>
  <c r="K191"/>
  <c r="M192"/>
  <c r="M191" s="1"/>
  <c r="P251"/>
  <c r="P250" s="1"/>
  <c r="P249" s="1"/>
  <c r="K207"/>
  <c r="K206" s="1"/>
  <c r="K205" s="1"/>
  <c r="K204" s="1"/>
  <c r="K203" s="1"/>
  <c r="M208"/>
  <c r="M207" s="1"/>
  <c r="M206" s="1"/>
  <c r="M205" s="1"/>
  <c r="M204" s="1"/>
  <c r="M203" s="1"/>
  <c r="H235"/>
  <c r="K155"/>
  <c r="K154" s="1"/>
  <c r="K153" s="1"/>
  <c r="K152" s="1"/>
  <c r="M156"/>
  <c r="M155" s="1"/>
  <c r="M154" s="1"/>
  <c r="M153" s="1"/>
  <c r="M152" s="1"/>
  <c r="I201"/>
  <c r="I200" s="1"/>
  <c r="I199" s="1"/>
  <c r="I198" s="1"/>
  <c r="K59"/>
  <c r="M60"/>
  <c r="M59" s="1"/>
  <c r="K264"/>
  <c r="M265"/>
  <c r="M264" s="1"/>
  <c r="K52"/>
  <c r="M53"/>
  <c r="M52" s="1"/>
  <c r="K71"/>
  <c r="M72"/>
  <c r="M71" s="1"/>
  <c r="M42"/>
  <c r="M41" s="1"/>
  <c r="M40" s="1"/>
  <c r="K304"/>
  <c r="M305"/>
  <c r="M304" s="1"/>
  <c r="K78"/>
  <c r="K77" s="1"/>
  <c r="M79"/>
  <c r="M78" s="1"/>
  <c r="M77" s="1"/>
  <c r="K45"/>
  <c r="K42" s="1"/>
  <c r="K41" s="1"/>
  <c r="K40" s="1"/>
  <c r="M46"/>
  <c r="M45" s="1"/>
  <c r="K61"/>
  <c r="M62"/>
  <c r="M61" s="1"/>
  <c r="R49"/>
  <c r="R48" s="1"/>
  <c r="R47" s="1"/>
  <c r="K128"/>
  <c r="K171"/>
  <c r="K170" s="1"/>
  <c r="K169" s="1"/>
  <c r="K168" s="1"/>
  <c r="M173"/>
  <c r="M171" s="1"/>
  <c r="M170" s="1"/>
  <c r="M169" s="1"/>
  <c r="M168" s="1"/>
  <c r="K148"/>
  <c r="K147" s="1"/>
  <c r="K146" s="1"/>
  <c r="K145" s="1"/>
  <c r="K133" s="1"/>
  <c r="M149"/>
  <c r="M148" s="1"/>
  <c r="M147" s="1"/>
  <c r="M34"/>
  <c r="M33" s="1"/>
  <c r="M32" s="1"/>
  <c r="M26" s="1"/>
  <c r="K285"/>
  <c r="M286"/>
  <c r="M285" s="1"/>
  <c r="K266"/>
  <c r="K263" s="1"/>
  <c r="M267"/>
  <c r="M266" s="1"/>
  <c r="K291"/>
  <c r="M292"/>
  <c r="M291" s="1"/>
  <c r="I117"/>
  <c r="K12"/>
  <c r="K11" s="1"/>
  <c r="K10" s="1"/>
  <c r="K9" s="1"/>
  <c r="K8" s="1"/>
  <c r="K7" s="1"/>
  <c r="M13"/>
  <c r="M12" s="1"/>
  <c r="M11" s="1"/>
  <c r="M10" s="1"/>
  <c r="M9" s="1"/>
  <c r="M8" s="1"/>
  <c r="M7" s="1"/>
  <c r="K160"/>
  <c r="K159" s="1"/>
  <c r="K158" s="1"/>
  <c r="K157" s="1"/>
  <c r="M161"/>
  <c r="M160" s="1"/>
  <c r="M159" s="1"/>
  <c r="M158" s="1"/>
  <c r="M157" s="1"/>
  <c r="K294"/>
  <c r="K293" s="1"/>
  <c r="M295"/>
  <c r="M294" s="1"/>
  <c r="M293" s="1"/>
  <c r="P11"/>
  <c r="P10" s="1"/>
  <c r="P9" s="1"/>
  <c r="P8" s="1"/>
  <c r="P7" s="1"/>
  <c r="I187"/>
  <c r="I182" s="1"/>
  <c r="I181" s="1"/>
  <c r="R68"/>
  <c r="R67" s="1"/>
  <c r="R66" s="1"/>
  <c r="R55" s="1"/>
  <c r="S133"/>
  <c r="K70"/>
  <c r="K69" s="1"/>
  <c r="I133"/>
  <c r="I84"/>
  <c r="I83" s="1"/>
  <c r="G81"/>
  <c r="G80" s="1"/>
  <c r="R116"/>
  <c r="R115" s="1"/>
  <c r="R114" s="1"/>
  <c r="R113" s="1"/>
  <c r="R112" s="1"/>
  <c r="G235"/>
  <c r="U162"/>
  <c r="P258"/>
  <c r="P257" s="1"/>
  <c r="R127"/>
  <c r="R126" s="1"/>
  <c r="R117" s="1"/>
  <c r="T54"/>
  <c r="I69"/>
  <c r="P146"/>
  <c r="P145" s="1"/>
  <c r="P133" s="1"/>
  <c r="O54"/>
  <c r="O19" s="1"/>
  <c r="Q81"/>
  <c r="Q80" s="1"/>
  <c r="O81"/>
  <c r="O80" s="1"/>
  <c r="Q133"/>
  <c r="R220"/>
  <c r="R219" s="1"/>
  <c r="R218" s="1"/>
  <c r="R217" s="1"/>
  <c r="R216" s="1"/>
  <c r="R215" s="1"/>
  <c r="P303"/>
  <c r="J133"/>
  <c r="I273"/>
  <c r="I272" s="1"/>
  <c r="I258" s="1"/>
  <c r="I257" s="1"/>
  <c r="K220"/>
  <c r="K219" s="1"/>
  <c r="K218" s="1"/>
  <c r="K217" s="1"/>
  <c r="K216" s="1"/>
  <c r="K215" s="1"/>
  <c r="R170"/>
  <c r="R169" s="1"/>
  <c r="R168" s="1"/>
  <c r="I291"/>
  <c r="U82"/>
  <c r="U81" s="1"/>
  <c r="U80" s="1"/>
  <c r="U18" s="1"/>
  <c r="U303"/>
  <c r="U299" s="1"/>
  <c r="U298" s="1"/>
  <c r="U256" s="1"/>
  <c r="R280"/>
  <c r="R279" s="1"/>
  <c r="J162"/>
  <c r="R303"/>
  <c r="R299" s="1"/>
  <c r="R298" s="1"/>
  <c r="R42"/>
  <c r="R41" s="1"/>
  <c r="R40" s="1"/>
  <c r="N133"/>
  <c r="U26"/>
  <c r="H133"/>
  <c r="T19"/>
  <c r="H303"/>
  <c r="H299" s="1"/>
  <c r="H298" s="1"/>
  <c r="P56"/>
  <c r="P55" s="1"/>
  <c r="R56"/>
  <c r="G162"/>
  <c r="P187"/>
  <c r="P182" s="1"/>
  <c r="P181" s="1"/>
  <c r="P162" s="1"/>
  <c r="U235"/>
  <c r="N162"/>
  <c r="P111"/>
  <c r="P50"/>
  <c r="P49" s="1"/>
  <c r="P48" s="1"/>
  <c r="P47" s="1"/>
  <c r="R70"/>
  <c r="O162"/>
  <c r="R235"/>
  <c r="P299"/>
  <c r="P298" s="1"/>
  <c r="Q256"/>
  <c r="N235"/>
  <c r="Q235"/>
  <c r="T235"/>
  <c r="H55"/>
  <c r="H54" s="1"/>
  <c r="H19" s="1"/>
  <c r="J235"/>
  <c r="T162"/>
  <c r="J54"/>
  <c r="J19" s="1"/>
  <c r="G54"/>
  <c r="U54"/>
  <c r="P82"/>
  <c r="P81" s="1"/>
  <c r="P80" s="1"/>
  <c r="S54"/>
  <c r="S19" s="1"/>
  <c r="H81"/>
  <c r="H80" s="1"/>
  <c r="K252"/>
  <c r="T133"/>
  <c r="T256"/>
  <c r="Q54"/>
  <c r="Q19" s="1"/>
  <c r="G19"/>
  <c r="P26"/>
  <c r="R93"/>
  <c r="R92" s="1"/>
  <c r="R91" s="1"/>
  <c r="R82" s="1"/>
  <c r="R81" s="1"/>
  <c r="R80" s="1"/>
  <c r="P244"/>
  <c r="P235" s="1"/>
  <c r="R258"/>
  <c r="R257" s="1"/>
  <c r="S235"/>
  <c r="I170"/>
  <c r="I169" s="1"/>
  <c r="I168" s="1"/>
  <c r="I162" s="1"/>
  <c r="K64"/>
  <c r="I63"/>
  <c r="I56" s="1"/>
  <c r="J256"/>
  <c r="K290"/>
  <c r="I289"/>
  <c r="R11"/>
  <c r="R10" s="1"/>
  <c r="R9" s="1"/>
  <c r="R8" s="1"/>
  <c r="R7" s="1"/>
  <c r="I287"/>
  <c r="K288"/>
  <c r="K314"/>
  <c r="I313"/>
  <c r="K258"/>
  <c r="K257" s="1"/>
  <c r="K310"/>
  <c r="I308"/>
  <c r="K312"/>
  <c r="I311"/>
  <c r="K51"/>
  <c r="I50"/>
  <c r="I49" s="1"/>
  <c r="I48" s="1"/>
  <c r="I47" s="1"/>
  <c r="R26"/>
  <c r="P78"/>
  <c r="P77" s="1"/>
  <c r="P69" s="1"/>
  <c r="R79"/>
  <c r="R78" s="1"/>
  <c r="R77" s="1"/>
  <c r="K68"/>
  <c r="I67"/>
  <c r="I66" s="1"/>
  <c r="N54"/>
  <c r="N19" s="1"/>
  <c r="N18" s="1"/>
  <c r="K116"/>
  <c r="I115"/>
  <c r="I114" s="1"/>
  <c r="I113" s="1"/>
  <c r="I112" s="1"/>
  <c r="I111" s="1"/>
  <c r="R182"/>
  <c r="R181" s="1"/>
  <c r="R162" s="1"/>
  <c r="K34"/>
  <c r="K33" s="1"/>
  <c r="K32" s="1"/>
  <c r="K26" s="1"/>
  <c r="I92"/>
  <c r="I91" s="1"/>
  <c r="K93"/>
  <c r="G111"/>
  <c r="I34"/>
  <c r="I33" s="1"/>
  <c r="I32" s="1"/>
  <c r="I26" s="1"/>
  <c r="I235"/>
  <c r="P335"/>
  <c r="R335" s="1"/>
  <c r="P333"/>
  <c r="R333" s="1"/>
  <c r="P332"/>
  <c r="R332" s="1"/>
  <c r="R111" l="1"/>
  <c r="S18"/>
  <c r="K115"/>
  <c r="K114" s="1"/>
  <c r="K113" s="1"/>
  <c r="K112" s="1"/>
  <c r="K111" s="1"/>
  <c r="M116"/>
  <c r="M115" s="1"/>
  <c r="M114" s="1"/>
  <c r="M113" s="1"/>
  <c r="M112" s="1"/>
  <c r="K50"/>
  <c r="K49" s="1"/>
  <c r="K48" s="1"/>
  <c r="K47" s="1"/>
  <c r="M51"/>
  <c r="M50" s="1"/>
  <c r="M49" s="1"/>
  <c r="M48" s="1"/>
  <c r="M47" s="1"/>
  <c r="K308"/>
  <c r="M310"/>
  <c r="M308" s="1"/>
  <c r="K287"/>
  <c r="K281" s="1"/>
  <c r="K280" s="1"/>
  <c r="K279" s="1"/>
  <c r="M288"/>
  <c r="M287" s="1"/>
  <c r="K289"/>
  <c r="M290"/>
  <c r="M289" s="1"/>
  <c r="M281" s="1"/>
  <c r="M280" s="1"/>
  <c r="M279" s="1"/>
  <c r="K63"/>
  <c r="K56" s="1"/>
  <c r="M64"/>
  <c r="M63" s="1"/>
  <c r="M56" s="1"/>
  <c r="M117"/>
  <c r="M111" s="1"/>
  <c r="K92"/>
  <c r="K91" s="1"/>
  <c r="K82" s="1"/>
  <c r="K81" s="1"/>
  <c r="K80" s="1"/>
  <c r="M93"/>
  <c r="M92" s="1"/>
  <c r="M91" s="1"/>
  <c r="M82" s="1"/>
  <c r="K311"/>
  <c r="M312"/>
  <c r="M311" s="1"/>
  <c r="Q18"/>
  <c r="Q6" s="1"/>
  <c r="M70"/>
  <c r="M69" s="1"/>
  <c r="M263"/>
  <c r="M258" s="1"/>
  <c r="M257" s="1"/>
  <c r="K187"/>
  <c r="K182" s="1"/>
  <c r="K181" s="1"/>
  <c r="K162" s="1"/>
  <c r="I82"/>
  <c r="I81" s="1"/>
  <c r="I80" s="1"/>
  <c r="K67"/>
  <c r="K66" s="1"/>
  <c r="M68"/>
  <c r="M67" s="1"/>
  <c r="M66" s="1"/>
  <c r="K313"/>
  <c r="K303" s="1"/>
  <c r="K299" s="1"/>
  <c r="K298" s="1"/>
  <c r="M314"/>
  <c r="M313" s="1"/>
  <c r="K251"/>
  <c r="K250" s="1"/>
  <c r="K249" s="1"/>
  <c r="K244" s="1"/>
  <c r="K235" s="1"/>
  <c r="M252"/>
  <c r="M251" s="1"/>
  <c r="M250" s="1"/>
  <c r="M249" s="1"/>
  <c r="M244" s="1"/>
  <c r="M235" s="1"/>
  <c r="M146"/>
  <c r="M145" s="1"/>
  <c r="M133" s="1"/>
  <c r="M187"/>
  <c r="M182" s="1"/>
  <c r="M181" s="1"/>
  <c r="M162" s="1"/>
  <c r="M81"/>
  <c r="M80" s="1"/>
  <c r="U19"/>
  <c r="U6" s="1"/>
  <c r="U225"/>
  <c r="J18"/>
  <c r="I303"/>
  <c r="I299" s="1"/>
  <c r="I298" s="1"/>
  <c r="R69"/>
  <c r="O18"/>
  <c r="P54"/>
  <c r="J225"/>
  <c r="Q225"/>
  <c r="I55"/>
  <c r="I54" s="1"/>
  <c r="I19" s="1"/>
  <c r="I281"/>
  <c r="I280" s="1"/>
  <c r="I279" s="1"/>
  <c r="G18"/>
  <c r="T225"/>
  <c r="T6" s="1"/>
  <c r="R331"/>
  <c r="R330" s="1"/>
  <c r="R329" s="1"/>
  <c r="R328" s="1"/>
  <c r="R256" s="1"/>
  <c r="R225" s="1"/>
  <c r="K55"/>
  <c r="K54" s="1"/>
  <c r="K19" s="1"/>
  <c r="H18"/>
  <c r="R54"/>
  <c r="R19" s="1"/>
  <c r="R18" s="1"/>
  <c r="P19"/>
  <c r="P18" s="1"/>
  <c r="P331"/>
  <c r="P330" s="1"/>
  <c r="P329" s="1"/>
  <c r="P328" s="1"/>
  <c r="P256" s="1"/>
  <c r="P225" s="1"/>
  <c r="O331"/>
  <c r="O330" s="1"/>
  <c r="O329" s="1"/>
  <c r="O328" s="1"/>
  <c r="O256" s="1"/>
  <c r="O225" s="1"/>
  <c r="I333"/>
  <c r="K333" s="1"/>
  <c r="M333" s="1"/>
  <c r="I334"/>
  <c r="K334" s="1"/>
  <c r="M334" s="1"/>
  <c r="I335"/>
  <c r="K335" s="1"/>
  <c r="M335" s="1"/>
  <c r="I332"/>
  <c r="K332" s="1"/>
  <c r="M332" s="1"/>
  <c r="H331"/>
  <c r="H330" s="1"/>
  <c r="H329" s="1"/>
  <c r="H328" s="1"/>
  <c r="H256" s="1"/>
  <c r="H225" s="1"/>
  <c r="I18" l="1"/>
  <c r="K18"/>
  <c r="M331"/>
  <c r="M330" s="1"/>
  <c r="M329" s="1"/>
  <c r="M328" s="1"/>
  <c r="O6"/>
  <c r="M55"/>
  <c r="M54" s="1"/>
  <c r="M19" s="1"/>
  <c r="M18" s="1"/>
  <c r="M303"/>
  <c r="M299" s="1"/>
  <c r="M298" s="1"/>
  <c r="M256" s="1"/>
  <c r="M225" s="1"/>
  <c r="J6"/>
  <c r="H6"/>
  <c r="K331"/>
  <c r="K330" s="1"/>
  <c r="K329" s="1"/>
  <c r="K328" s="1"/>
  <c r="K256" s="1"/>
  <c r="K225" s="1"/>
  <c r="R6"/>
  <c r="P6"/>
  <c r="I331"/>
  <c r="I330" s="1"/>
  <c r="I329" s="1"/>
  <c r="I328" s="1"/>
  <c r="I256" s="1"/>
  <c r="I225" s="1"/>
  <c r="I6" l="1"/>
  <c r="K6"/>
  <c r="M6"/>
  <c r="S331"/>
  <c r="S330" s="1"/>
  <c r="S329" s="1"/>
  <c r="S328" s="1"/>
  <c r="S256" s="1"/>
  <c r="S225" s="1"/>
  <c r="S6" s="1"/>
  <c r="N331"/>
  <c r="N330" s="1"/>
  <c r="N329" s="1"/>
  <c r="N328" s="1"/>
  <c r="N256" s="1"/>
  <c r="N225" s="1"/>
  <c r="N6" s="1"/>
  <c r="G331"/>
  <c r="G330" s="1"/>
  <c r="G329" s="1"/>
  <c r="G328" s="1"/>
  <c r="G256" s="1"/>
  <c r="G225" s="1"/>
  <c r="G6" s="1"/>
</calcChain>
</file>

<file path=xl/sharedStrings.xml><?xml version="1.0" encoding="utf-8"?>
<sst xmlns="http://schemas.openxmlformats.org/spreadsheetml/2006/main" count="1956" uniqueCount="300">
  <si>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</si>
  <si>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</si>
  <si>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</si>
  <si>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</si>
  <si>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</si>
  <si>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</si>
  <si>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</si>
  <si>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</si>
  <si>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Администрация муниципального образования "Город Мирный" Мирнинского района Республики Саха (Якутия)</t>
  </si>
  <si>
    <t>801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</si>
  <si>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</si>
  <si>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</si>
  <si>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</si>
  <si>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</si>
  <si>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</si>
  <si>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</si>
  <si>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</si>
  <si>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</si>
  <si>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</si>
  <si>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</si>
  <si>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</si>
  <si>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гос.нужд</t>
  </si>
  <si>
    <t>200</t>
  </si>
  <si>
    <t>Депутаты представительного органа муниципального образования</t>
  </si>
  <si>
    <t>99 1 00 11720</t>
  </si>
  <si>
    <t>Муниципальное учреждение "Мирнинский городской Совет"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</si>
  <si>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</si>
  <si>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</si>
  <si>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</si>
  <si>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</si>
  <si>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</si>
  <si>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</si>
  <si>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</si>
  <si>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</si>
  <si>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</si>
  <si>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</si>
  <si>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</si>
  <si>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</si>
  <si>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Бюдж.инвестиции</t>
  </si>
  <si>
    <t>400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</si>
  <si>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</si>
  <si>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</si>
  <si>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</si>
  <si>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</si>
  <si>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</si>
  <si>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</si>
  <si>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</si>
  <si>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</si>
  <si>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</si>
  <si>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</si>
  <si>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</si>
  <si>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</si>
  <si>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</si>
  <si>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</si>
  <si>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</si>
  <si>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</si>
  <si>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</si>
  <si>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</si>
  <si>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</si>
  <si>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</si>
  <si>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</si>
  <si>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</si>
  <si>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</si>
  <si>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</si>
  <si>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</si>
  <si>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</si>
  <si>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</si>
  <si>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</si>
  <si>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</si>
  <si>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</si>
  <si>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</si>
  <si>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</si>
  <si>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</si>
  <si>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</si>
  <si>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Условно утвержденные расходы</t>
  </si>
  <si>
    <t>99 9 00 00000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</si>
  <si>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</si>
  <si>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</si>
  <si>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</si>
  <si>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</si>
  <si>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</si>
  <si>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</si>
  <si>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</si>
  <si>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</si>
  <si>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</si>
  <si>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</si>
  <si>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</si>
  <si>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</si>
  <si>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</si>
  <si>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</si>
  <si>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</si>
  <si>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</si>
  <si>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</si>
  <si>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</si>
  <si>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</si>
  <si>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</si>
  <si>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</si>
  <si>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</si>
  <si>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</si>
  <si>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</si>
  <si>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</si>
  <si>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</si>
  <si>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</si>
  <si>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</si>
  <si>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</si>
  <si>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</si>
  <si>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</si>
  <si>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05</t>
  </si>
  <si>
    <t>Жилищное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</si>
  <si>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</si>
  <si>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</si>
  <si>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</si>
  <si>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</si>
  <si>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</si>
  <si>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</si>
  <si>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</si>
  <si>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</si>
  <si>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</si>
  <si>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</si>
  <si>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</si>
  <si>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</si>
  <si>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</si>
  <si>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</si>
  <si>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</si>
  <si>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</si>
  <si>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15 1 00 22001</t>
  </si>
  <si>
    <t>Поддержка социально ориентированных некоммерческих организаций</t>
  </si>
  <si>
    <t>15 2 00 10010</t>
  </si>
  <si>
    <t>Предост.субсидий фед.БУ, АУ и иным некомм.орг-циям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</si>
  <si>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</si>
  <si>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</si>
  <si>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</si>
  <si>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</si>
  <si>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</si>
  <si>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</si>
  <si>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</si>
  <si>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</si>
  <si>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</si>
  <si>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</si>
  <si>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</si>
  <si>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20 3 00 S4001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</si>
  <si>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</si>
  <si>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</si>
  <si>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</si>
  <si>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</si>
  <si>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</si>
  <si>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</si>
  <si>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</si>
  <si>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</si>
  <si>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</si>
  <si>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</si>
  <si>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</si>
  <si>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</si>
  <si>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</si>
  <si>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</si>
  <si>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99 1 00 11740</t>
  </si>
  <si>
    <t>Муниципальное учреждение "Контрольно-счётная палата"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</si>
  <si>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</si>
  <si>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</si>
  <si>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</si>
  <si>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Обеспечение общих условий функционирования отраслей агропромышленного комплекса</t>
  </si>
  <si>
    <t>25 В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</si>
  <si>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</si>
  <si>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63360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</si>
  <si>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</si>
  <si>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</si>
  <si>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</si>
  <si>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</si>
  <si>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</si>
  <si>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</si>
  <si>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</si>
  <si>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</si>
  <si>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</si>
  <si>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</si>
  <si>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</si>
  <si>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</si>
  <si>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</si>
  <si>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</si>
  <si>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</si>
  <si>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</si>
  <si>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</si>
  <si>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</si>
  <si>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</si>
  <si>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</si>
  <si>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</si>
  <si>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</si>
  <si>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</si>
  <si>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</si>
  <si>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Коммунальное хозяйство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</si>
  <si>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</si>
  <si>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</si>
  <si>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</si>
  <si>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</si>
  <si>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Благоустройство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</si>
  <si>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</si>
  <si>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</si>
  <si>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</si>
  <si>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</si>
  <si>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</si>
  <si>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</si>
  <si>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</si>
  <si>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</si>
  <si>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</si>
  <si>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</si>
  <si>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</si>
  <si>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</si>
  <si>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Прочие мероприятия по благоустройству</t>
  </si>
  <si>
    <t>23 2 00 10090</t>
  </si>
  <si>
    <t>23 2 00 S2650</t>
  </si>
  <si>
    <t>Другие вопросы в области жилищно-коммунального хозяйства</t>
  </si>
  <si>
    <t>Обеспечивающая подпрограмма</t>
  </si>
  <si>
    <t>18 1 00 00000</t>
  </si>
  <si>
    <t>18 1 00 22001</t>
  </si>
  <si>
    <t>Муниципальное учреждение "Управление Жилищно-Коммунального Хозяйства"</t>
  </si>
  <si>
    <t>07</t>
  </si>
  <si>
    <t>Молодежная политика и оздоровление детей</t>
  </si>
  <si>
    <t>Другие вопросы в области культуры, кинематографии</t>
  </si>
  <si>
    <t>Другие вопросы в области физической культуры и спорта</t>
  </si>
  <si>
    <t>14 1 00 00000</t>
  </si>
  <si>
    <t>14 1 00 22001</t>
  </si>
  <si>
    <t>Другие вопросы в области социальной политики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</si>
  <si>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</si>
  <si>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</si>
  <si>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</si>
  <si>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</si>
  <si>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</si>
  <si>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</si>
  <si>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</si>
  <si>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МБТ ОБЩЕГО ХАРАКТЕРА БЮДЖЕТАМ бюджетной системы РФ</t>
  </si>
  <si>
    <t>СОЦИАЛЬНАЯ ПОЛИТИКА</t>
  </si>
  <si>
    <t>ОБЩЕГОСУДАРСТВЕННЫЕ ВОПРОСЫ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</si>
  <si>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</si>
  <si>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25 Т 00 63360</t>
  </si>
  <si>
    <t>25 Т 00 00000</t>
  </si>
  <si>
    <t>Ветеринарное обеспечение</t>
  </si>
  <si>
    <t>20 3 00 1003 0</t>
  </si>
  <si>
    <t>Переселение граждан из аварийного жилищного фонда</t>
  </si>
  <si>
    <t>20 2 00 S470 1</t>
  </si>
  <si>
    <t>23 2 F2 5555 0</t>
  </si>
  <si>
    <t>Реализация программ формирования современной городской среды</t>
  </si>
  <si>
    <t>20 3 00 L4970</t>
  </si>
  <si>
    <t>Общегосударственные  вопросы</t>
  </si>
  <si>
    <t>Закупка товаров, работ и услуг для обеспечения государственных (муниципальных) нужд</t>
  </si>
  <si>
    <t>23 2 F2 Д555 0</t>
  </si>
  <si>
    <t>Реализация программ формирования современной городской среды (за счет МБ)</t>
  </si>
  <si>
    <t>20 2 00 6470 1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</si>
  <si>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</si>
  <si>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23 2 00 62650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</si>
  <si>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</si>
  <si>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11 1 00 00000</t>
  </si>
  <si>
    <t>11 1 00 22001</t>
  </si>
  <si>
    <t>Предоставление субсидий бюджетным, автономным учреждениям и иным некоммерческим организациям</t>
  </si>
  <si>
    <t>10 1 00 00000</t>
  </si>
  <si>
    <t>10 1 00 22001</t>
  </si>
  <si>
    <t>Реализация мероприятий по обеспечению жильем молодых семей</t>
  </si>
  <si>
    <t>Ведомственная структура расходов бюджета на 2022 год и на плановый период 2023 и 2024 годов</t>
  </si>
  <si>
    <t>Обеспечение проведения выборов и референдумов</t>
  </si>
  <si>
    <t>Проведение выборов и референдумов</t>
  </si>
  <si>
    <t>99 3 00 00000</t>
  </si>
  <si>
    <t>Проведение выборов и референдумов депутатов</t>
  </si>
  <si>
    <t>Проведение выборов и референдумов глав</t>
  </si>
  <si>
    <t>Профилактика правонарушений</t>
  </si>
  <si>
    <t>17 0 00 0000 0</t>
  </si>
  <si>
    <t xml:space="preserve">Повышение эффективности работы в сфере профилактики правонарушений </t>
  </si>
  <si>
    <t>17 1 00 0000 0</t>
  </si>
  <si>
    <t xml:space="preserve">Содействие развитию добровольных народных дружин в сфере охраны общественного порядка </t>
  </si>
  <si>
    <t>17 1 00 1004 0</t>
  </si>
  <si>
    <t xml:space="preserve">Социальное обеспечение и иные выплаты населению
</t>
  </si>
  <si>
    <t xml:space="preserve">Безопасность дорожного движения </t>
  </si>
  <si>
    <t>17 2 00 0000 0</t>
  </si>
  <si>
    <t>Организация профилактических мероприятий по пропаганде безопасности дорожного движения</t>
  </si>
  <si>
    <t>17 2 00 1001 0</t>
  </si>
  <si>
    <t>Совершенствование управления собственностью</t>
  </si>
  <si>
    <t>31 3 00 00000</t>
  </si>
  <si>
    <t>Совершенствование управления имуществом</t>
  </si>
  <si>
    <t>31 3 00 10010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</si>
  <si>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</si>
  <si>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>17 4 00 0000 0</t>
  </si>
  <si>
    <t>17 4 00 1002 0</t>
  </si>
  <si>
    <t>Профилактика экстремизма и терроризма</t>
  </si>
  <si>
    <t>Приобретение, установка и обслуживание систем безопасности</t>
  </si>
  <si>
    <t>99 3 00 10010</t>
  </si>
  <si>
    <t>99 3 00 10020</t>
  </si>
  <si>
    <t>Сумма уточнений (+/-)</t>
  </si>
  <si>
    <t>Реализация мероприятий муниципальной программы формирования современной городской среды</t>
  </si>
  <si>
    <t>23 2 00 10100</t>
  </si>
  <si>
    <t xml:space="preserve">Развитие и освоение территорий в целях стимулирования строительства индивидуальных жилых домов </t>
  </si>
  <si>
    <t>20 2 00 64701</t>
  </si>
  <si>
    <t>20 2 00 S4701</t>
  </si>
  <si>
    <t>20 2 00 10030</t>
  </si>
  <si>
    <t>20 2 00 10020</t>
  </si>
  <si>
    <t>АДМИНИСТРАЦИЯ МО "ГОРОД МИРНЫЙ" МИРНИНСКОГО РАЙОНА РЕСПУБЛИКИ САХА (ЯКУТИЯ)</t>
  </si>
  <si>
    <t>2022 год</t>
  </si>
  <si>
    <t>2022 год с уточнениями</t>
  </si>
  <si>
    <t>2023 год</t>
  </si>
  <si>
    <t>2023 год с уточнениями</t>
  </si>
  <si>
    <t>2024 год</t>
  </si>
  <si>
    <t xml:space="preserve">2022 год </t>
  </si>
  <si>
    <t>2024 год с уточнениями</t>
  </si>
  <si>
    <t>Приложение 5
к решению городского Совета
от 26.08.2022 № IV - 60-2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</si>
</sst>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0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Arial Cyr"/>
      <family val="2"/>
    </font>
    <font>
      <sz val="8"/>
      <name val="Times New Roman"/>
      <family val="2"/>
    </font>
    <font>
      <sz val="10"/>
      <name val="Times New Roman"/>
      <family val="2"/>
    </font>
    <font>
      <b/>
      <i/>
      <sz val="9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top" wrapText="1"/>
    </xf>
    <xf numFmtId="0" fontId="8" fillId="0" borderId="0"/>
    <xf numFmtId="0" fontId="9" fillId="0" borderId="0"/>
    <xf numFmtId="0" fontId="8" fillId="0" borderId="0"/>
    <xf numFmtId="0" fontId="15" fillId="4" borderId="4"/>
    <xf numFmtId="4" fontId="15" fillId="0" borderId="1">
      <alignment horizontal="right" vertical="top" shrinkToFit="1"/>
    </xf>
  </cellStyleXfs>
  <cellXfs count="10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0" xfId="0">
      <alignment vertical="top" wrapText="1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0" fillId="3" borderId="0" xfId="0" applyFill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1" fillId="3" borderId="3" xfId="3" applyFont="1" applyFill="1" applyBorder="1" applyAlignment="1">
      <alignment wrapText="1"/>
    </xf>
    <xf numFmtId="49" fontId="12" fillId="0" borderId="3" xfId="0" applyNumberFormat="1" applyFont="1" applyBorder="1" applyAlignment="1">
      <alignment horizontal="center"/>
    </xf>
    <xf numFmtId="49" fontId="11" fillId="3" borderId="3" xfId="1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3" borderId="3" xfId="1" applyNumberFormat="1" applyFont="1" applyFill="1" applyBorder="1" applyAlignment="1">
      <alignment horizontal="center"/>
    </xf>
    <xf numFmtId="0" fontId="10" fillId="0" borderId="3" xfId="0" applyFont="1" applyBorder="1" applyAlignment="1">
      <alignment wrapText="1"/>
    </xf>
    <xf numFmtId="0" fontId="6" fillId="0" borderId="1" xfId="0" applyFont="1" applyBorder="1">
      <alignment vertical="top" wrapText="1"/>
    </xf>
    <xf numFmtId="0" fontId="12" fillId="0" borderId="1" xfId="0" applyFont="1" applyBorder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2" fillId="3" borderId="1" xfId="0" applyFont="1" applyFill="1" applyBorder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4" fontId="0" fillId="3" borderId="1" xfId="0" applyNumberForma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top" wrapText="1"/>
    </xf>
    <xf numFmtId="4" fontId="0" fillId="3" borderId="7" xfId="0" applyNumberFormat="1" applyFont="1" applyFill="1" applyBorder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right" vertical="top" wrapText="1"/>
    </xf>
    <xf numFmtId="4" fontId="0" fillId="3" borderId="5" xfId="0" applyNumberFormat="1" applyFont="1" applyFill="1" applyBorder="1" applyAlignment="1">
      <alignment horizontal="right" vertical="top" wrapText="1"/>
    </xf>
    <xf numFmtId="4" fontId="0" fillId="3" borderId="3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4" fontId="0" fillId="3" borderId="8" xfId="0" applyNumberFormat="1" applyFont="1" applyFill="1" applyBorder="1" applyAlignment="1">
      <alignment horizontal="right" vertical="top" wrapText="1"/>
    </xf>
    <xf numFmtId="164" fontId="0" fillId="0" borderId="3" xfId="0" applyNumberFormat="1" applyBorder="1">
      <alignment vertical="top" wrapText="1"/>
    </xf>
    <xf numFmtId="4" fontId="0" fillId="3" borderId="9" xfId="0" applyNumberFormat="1" applyFont="1" applyFill="1" applyBorder="1" applyAlignment="1">
      <alignment horizontal="right" vertical="top" wrapText="1"/>
    </xf>
    <xf numFmtId="4" fontId="0" fillId="3" borderId="6" xfId="0" applyNumberFormat="1" applyFont="1" applyFill="1" applyBorder="1" applyAlignment="1">
      <alignment horizontal="right" vertical="top" wrapText="1"/>
    </xf>
    <xf numFmtId="164" fontId="0" fillId="3" borderId="0" xfId="0" applyNumberFormat="1" applyFill="1">
      <alignment vertical="top" wrapText="1"/>
    </xf>
    <xf numFmtId="164" fontId="0" fillId="3" borderId="3" xfId="0" applyNumberFormat="1" applyFill="1" applyBorder="1">
      <alignment vertical="top" wrapText="1"/>
    </xf>
    <xf numFmtId="0" fontId="13" fillId="3" borderId="1" xfId="0" applyFont="1" applyFill="1" applyBorder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4" fontId="0" fillId="3" borderId="10" xfId="0" applyNumberFormat="1" applyFont="1" applyFill="1" applyBorder="1" applyAlignment="1">
      <alignment horizontal="right" vertical="top" wrapText="1"/>
    </xf>
    <xf numFmtId="4" fontId="0" fillId="3" borderId="1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0" fontId="1" fillId="3" borderId="5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0" fillId="0" borderId="0" xfId="0" applyNumberForma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</cellXfs>
  <cellStyles count="6">
    <cellStyle name="xl35" xfId="4"/>
    <cellStyle name="xl40" xfId="5"/>
    <cellStyle name="Обычный" xfId="0" builtinId="0"/>
    <cellStyle name="Обычный 10" xfId="3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6"/>
  <sheetViews>
    <sheetView tabSelected="1" view="pageBreakPreview" zoomScale="60" workbookViewId="0">
      <selection activeCell="A15" sqref="A15"/>
    </sheetView>
  </sheetViews>
  <sheetFormatPr defaultRowHeight="12.75" outlineLevelRow="3" outlineLevelCol="2"/>
  <cols>
    <col min="1" max="1" width="81" customWidth="1"/>
    <col min="2" max="2" width="9" customWidth="1"/>
    <col min="3" max="3" width="9.1640625" customWidth="1"/>
    <col min="4" max="4" width="9.33203125" customWidth="1"/>
    <col min="5" max="5" width="15.83203125" customWidth="1"/>
    <col min="6" max="6" width="9.33203125" customWidth="1"/>
    <col min="7" max="7" width="18.5" hidden="1" customWidth="1" outlineLevel="1"/>
    <col min="8" max="8" width="19.5" hidden="1" customWidth="1" outlineLevel="1"/>
    <col min="9" max="9" width="21.1640625" hidden="1" customWidth="1" outlineLevel="1" collapsed="1"/>
    <col min="10" max="10" width="21.1640625" hidden="1" customWidth="1" outlineLevel="1"/>
    <col min="11" max="11" width="21.6640625" customWidth="1" collapsed="1"/>
    <col min="12" max="12" width="17.1640625" customWidth="1"/>
    <col min="13" max="13" width="21.1640625" customWidth="1"/>
    <col min="14" max="15" width="20" hidden="1" customWidth="1" outlineLevel="1"/>
    <col min="16" max="16" width="20" customWidth="1" collapsed="1"/>
    <col min="17" max="18" width="20" customWidth="1" outlineLevel="1"/>
    <col min="19" max="19" width="23.1640625" customWidth="1" outlineLevel="1"/>
    <col min="20" max="20" width="18.83203125" customWidth="1" outlineLevel="2"/>
    <col min="21" max="21" width="20" customWidth="1" outlineLevel="1"/>
    <col min="22" max="22" width="19" customWidth="1"/>
  </cols>
  <sheetData>
    <row r="1" spans="1:22">
      <c r="A1" t="s">
        <v>0</v>
      </c>
    </row>
    <row r="2" spans="1:22" ht="42.2" customHeight="1">
      <c r="A2" s="103" t="s">
        <v>299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2" ht="32.25" customHeight="1">
      <c r="A3" s="102" t="s">
        <v>255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2" ht="18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5"/>
    </row>
    <row r="5" spans="1:22" ht="30.7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91" t="s">
        <v>292</v>
      </c>
      <c r="H5" s="91" t="s">
        <v>283</v>
      </c>
      <c r="I5" s="91" t="s">
        <v>292</v>
      </c>
      <c r="J5" s="91" t="s">
        <v>283</v>
      </c>
      <c r="K5" s="98" t="s">
        <v>297</v>
      </c>
      <c r="L5" s="91" t="s">
        <v>283</v>
      </c>
      <c r="M5" s="98" t="s">
        <v>293</v>
      </c>
      <c r="N5" s="91" t="s">
        <v>294</v>
      </c>
      <c r="O5" s="91" t="s">
        <v>283</v>
      </c>
      <c r="P5" s="91" t="s">
        <v>294</v>
      </c>
      <c r="Q5" s="91" t="s">
        <v>283</v>
      </c>
      <c r="R5" s="98" t="s">
        <v>295</v>
      </c>
      <c r="S5" s="91" t="s">
        <v>296</v>
      </c>
      <c r="T5" s="98" t="s">
        <v>283</v>
      </c>
      <c r="U5" s="100" t="s">
        <v>298</v>
      </c>
    </row>
    <row r="6" spans="1:22" ht="32.25" customHeight="1">
      <c r="A6" s="2" t="s">
        <v>291</v>
      </c>
      <c r="B6" s="1">
        <v>801</v>
      </c>
      <c r="C6" s="1" t="s">
        <v>0</v>
      </c>
      <c r="D6" s="1" t="s">
        <v>0</v>
      </c>
      <c r="E6" s="1" t="s">
        <v>0</v>
      </c>
      <c r="F6" s="1" t="s">
        <v>0</v>
      </c>
      <c r="G6" s="55">
        <f t="shared" ref="G6:U6" si="0">G7+G18+G215+G225</f>
        <v>593967182.86982548</v>
      </c>
      <c r="H6" s="55">
        <f t="shared" si="0"/>
        <v>464385760.94999993</v>
      </c>
      <c r="I6" s="55">
        <f t="shared" si="0"/>
        <v>1058352943.8198254</v>
      </c>
      <c r="J6" s="55">
        <f t="shared" ref="J6:K6" si="1">J7+J18+J215+J225</f>
        <v>16835540.949999996</v>
      </c>
      <c r="K6" s="55">
        <f t="shared" si="1"/>
        <v>1075188484.7698255</v>
      </c>
      <c r="L6" s="55">
        <f t="shared" ref="L6:M6" si="2">L7+L18+L215+L225</f>
        <v>29211700</v>
      </c>
      <c r="M6" s="55">
        <f t="shared" si="2"/>
        <v>1104400184.7698255</v>
      </c>
      <c r="N6" s="55">
        <f t="shared" si="0"/>
        <v>540025158.79217529</v>
      </c>
      <c r="O6" s="55">
        <f t="shared" si="0"/>
        <v>3103880.84</v>
      </c>
      <c r="P6" s="55">
        <f t="shared" si="0"/>
        <v>541879735.18217528</v>
      </c>
      <c r="Q6" s="55">
        <f t="shared" ref="Q6:R6" si="3">Q7+Q18+Q215+Q225</f>
        <v>6659834.4299999997</v>
      </c>
      <c r="R6" s="55">
        <f t="shared" si="3"/>
        <v>548539569.61217523</v>
      </c>
      <c r="S6" s="77">
        <f t="shared" si="0"/>
        <v>558384907.0076983</v>
      </c>
      <c r="T6" s="55">
        <f t="shared" si="0"/>
        <v>9175208.9100000001</v>
      </c>
      <c r="U6" s="99">
        <f t="shared" si="0"/>
        <v>567560115.91769826</v>
      </c>
      <c r="V6" s="97"/>
    </row>
    <row r="7" spans="1:22" ht="15" customHeight="1">
      <c r="A7" s="32" t="s">
        <v>25</v>
      </c>
      <c r="B7" s="12" t="s">
        <v>9</v>
      </c>
      <c r="C7" s="12" t="s">
        <v>0</v>
      </c>
      <c r="D7" s="12" t="s">
        <v>0</v>
      </c>
      <c r="E7" s="12" t="s">
        <v>0</v>
      </c>
      <c r="F7" s="12" t="s">
        <v>0</v>
      </c>
      <c r="G7" s="13">
        <f t="shared" ref="G7:M10" si="4">G8</f>
        <v>4605517.04</v>
      </c>
      <c r="H7" s="13">
        <f t="shared" si="4"/>
        <v>0</v>
      </c>
      <c r="I7" s="13">
        <f t="shared" si="4"/>
        <v>4605517.04</v>
      </c>
      <c r="J7" s="13">
        <f t="shared" si="4"/>
        <v>0</v>
      </c>
      <c r="K7" s="13">
        <f t="shared" si="4"/>
        <v>4605517.04</v>
      </c>
      <c r="L7" s="13">
        <f t="shared" si="4"/>
        <v>0</v>
      </c>
      <c r="M7" s="13">
        <f t="shared" si="4"/>
        <v>4605517.04</v>
      </c>
      <c r="N7" s="13">
        <f t="shared" ref="N7:U10" si="5">N8</f>
        <v>5246672.7699999996</v>
      </c>
      <c r="O7" s="13">
        <f t="shared" si="5"/>
        <v>0</v>
      </c>
      <c r="P7" s="13">
        <f t="shared" si="5"/>
        <v>5246672.7699999996</v>
      </c>
      <c r="Q7" s="13">
        <f t="shared" si="5"/>
        <v>0</v>
      </c>
      <c r="R7" s="13">
        <f t="shared" si="5"/>
        <v>5246672.7699999996</v>
      </c>
      <c r="S7" s="13">
        <f t="shared" si="5"/>
        <v>5403552.8799999999</v>
      </c>
      <c r="T7" s="13">
        <f t="shared" si="5"/>
        <v>0</v>
      </c>
      <c r="U7" s="13">
        <f t="shared" si="5"/>
        <v>5403552.8799999999</v>
      </c>
    </row>
    <row r="8" spans="1:22">
      <c r="A8" s="14" t="s">
        <v>230</v>
      </c>
      <c r="B8" s="4" t="s">
        <v>9</v>
      </c>
      <c r="C8" s="4" t="s">
        <v>10</v>
      </c>
      <c r="D8" s="4" t="s">
        <v>0</v>
      </c>
      <c r="E8" s="4" t="s">
        <v>0</v>
      </c>
      <c r="F8" s="4" t="s">
        <v>0</v>
      </c>
      <c r="G8" s="5">
        <f t="shared" si="4"/>
        <v>4605517.04</v>
      </c>
      <c r="H8" s="5">
        <f t="shared" si="4"/>
        <v>0</v>
      </c>
      <c r="I8" s="5">
        <f t="shared" si="4"/>
        <v>4605517.04</v>
      </c>
      <c r="J8" s="5">
        <f t="shared" si="4"/>
        <v>0</v>
      </c>
      <c r="K8" s="5">
        <f t="shared" si="4"/>
        <v>4605517.04</v>
      </c>
      <c r="L8" s="5">
        <f t="shared" si="4"/>
        <v>0</v>
      </c>
      <c r="M8" s="5">
        <f t="shared" si="4"/>
        <v>4605517.04</v>
      </c>
      <c r="N8" s="5">
        <f t="shared" si="5"/>
        <v>5246672.7699999996</v>
      </c>
      <c r="O8" s="5">
        <f t="shared" si="5"/>
        <v>0</v>
      </c>
      <c r="P8" s="5">
        <f t="shared" si="5"/>
        <v>5246672.7699999996</v>
      </c>
      <c r="Q8" s="5">
        <f t="shared" si="5"/>
        <v>0</v>
      </c>
      <c r="R8" s="5">
        <f t="shared" si="5"/>
        <v>5246672.7699999996</v>
      </c>
      <c r="S8" s="5">
        <f t="shared" si="5"/>
        <v>5403552.8799999999</v>
      </c>
      <c r="T8" s="5">
        <f t="shared" si="5"/>
        <v>0</v>
      </c>
      <c r="U8" s="5">
        <f t="shared" si="5"/>
        <v>5403552.8799999999</v>
      </c>
    </row>
    <row r="9" spans="1:22" ht="25.5" customHeight="1">
      <c r="A9" s="3" t="s">
        <v>11</v>
      </c>
      <c r="B9" s="4" t="s">
        <v>9</v>
      </c>
      <c r="C9" s="4" t="s">
        <v>10</v>
      </c>
      <c r="D9" s="4" t="s">
        <v>12</v>
      </c>
      <c r="E9" s="4" t="s">
        <v>0</v>
      </c>
      <c r="F9" s="4" t="s">
        <v>0</v>
      </c>
      <c r="G9" s="5">
        <f t="shared" si="4"/>
        <v>4605517.04</v>
      </c>
      <c r="H9" s="5">
        <f t="shared" si="4"/>
        <v>0</v>
      </c>
      <c r="I9" s="5">
        <f t="shared" si="4"/>
        <v>4605517.04</v>
      </c>
      <c r="J9" s="5">
        <f t="shared" si="4"/>
        <v>0</v>
      </c>
      <c r="K9" s="5">
        <f t="shared" si="4"/>
        <v>4605517.04</v>
      </c>
      <c r="L9" s="5">
        <f t="shared" si="4"/>
        <v>0</v>
      </c>
      <c r="M9" s="5">
        <f t="shared" si="4"/>
        <v>4605517.04</v>
      </c>
      <c r="N9" s="5">
        <f t="shared" si="5"/>
        <v>5246672.7699999996</v>
      </c>
      <c r="O9" s="5">
        <f t="shared" si="5"/>
        <v>0</v>
      </c>
      <c r="P9" s="5">
        <f t="shared" si="5"/>
        <v>5246672.7699999996</v>
      </c>
      <c r="Q9" s="5">
        <f t="shared" si="5"/>
        <v>0</v>
      </c>
      <c r="R9" s="5">
        <f t="shared" si="5"/>
        <v>5246672.7699999996</v>
      </c>
      <c r="S9" s="5">
        <f t="shared" si="5"/>
        <v>5403552.8799999999</v>
      </c>
      <c r="T9" s="5">
        <f t="shared" si="5"/>
        <v>0</v>
      </c>
      <c r="U9" s="5">
        <f t="shared" si="5"/>
        <v>5403552.8799999999</v>
      </c>
    </row>
    <row r="10" spans="1:22">
      <c r="A10" s="3" t="s">
        <v>13</v>
      </c>
      <c r="B10" s="4" t="s">
        <v>9</v>
      </c>
      <c r="C10" s="4" t="s">
        <v>10</v>
      </c>
      <c r="D10" s="4" t="s">
        <v>12</v>
      </c>
      <c r="E10" s="4" t="s">
        <v>14</v>
      </c>
      <c r="F10" s="4" t="s">
        <v>0</v>
      </c>
      <c r="G10" s="5">
        <f t="shared" si="4"/>
        <v>4605517.04</v>
      </c>
      <c r="H10" s="5">
        <f t="shared" si="4"/>
        <v>0</v>
      </c>
      <c r="I10" s="5">
        <f t="shared" si="4"/>
        <v>4605517.04</v>
      </c>
      <c r="J10" s="5">
        <f t="shared" si="4"/>
        <v>0</v>
      </c>
      <c r="K10" s="5">
        <f t="shared" si="4"/>
        <v>4605517.04</v>
      </c>
      <c r="L10" s="5">
        <f t="shared" si="4"/>
        <v>0</v>
      </c>
      <c r="M10" s="5">
        <f t="shared" si="4"/>
        <v>4605517.04</v>
      </c>
      <c r="N10" s="5">
        <f t="shared" si="5"/>
        <v>5246672.7699999996</v>
      </c>
      <c r="O10" s="5">
        <f t="shared" si="5"/>
        <v>0</v>
      </c>
      <c r="P10" s="5">
        <f t="shared" si="5"/>
        <v>5246672.7699999996</v>
      </c>
      <c r="Q10" s="5">
        <f t="shared" si="5"/>
        <v>0</v>
      </c>
      <c r="R10" s="5">
        <f t="shared" si="5"/>
        <v>5246672.7699999996</v>
      </c>
      <c r="S10" s="5">
        <f t="shared" si="5"/>
        <v>5403552.8799999999</v>
      </c>
      <c r="T10" s="5">
        <f t="shared" si="5"/>
        <v>0</v>
      </c>
      <c r="U10" s="5">
        <f t="shared" si="5"/>
        <v>5403552.8799999999</v>
      </c>
    </row>
    <row r="11" spans="1:22" ht="25.5">
      <c r="A11" s="3" t="s">
        <v>15</v>
      </c>
      <c r="B11" s="4" t="s">
        <v>9</v>
      </c>
      <c r="C11" s="4" t="s">
        <v>10</v>
      </c>
      <c r="D11" s="4" t="s">
        <v>12</v>
      </c>
      <c r="E11" s="4" t="s">
        <v>16</v>
      </c>
      <c r="F11" s="4" t="s">
        <v>0</v>
      </c>
      <c r="G11" s="5">
        <f t="shared" ref="G11:U11" si="6">G12+G15</f>
        <v>4605517.04</v>
      </c>
      <c r="H11" s="5">
        <f t="shared" si="6"/>
        <v>0</v>
      </c>
      <c r="I11" s="5">
        <f t="shared" si="6"/>
        <v>4605517.04</v>
      </c>
      <c r="J11" s="5">
        <f t="shared" ref="J11:K11" si="7">J12+J15</f>
        <v>0</v>
      </c>
      <c r="K11" s="5">
        <f t="shared" si="7"/>
        <v>4605517.04</v>
      </c>
      <c r="L11" s="5">
        <f t="shared" ref="L11:M11" si="8">L12+L15</f>
        <v>0</v>
      </c>
      <c r="M11" s="5">
        <f t="shared" si="8"/>
        <v>4605517.04</v>
      </c>
      <c r="N11" s="5">
        <f t="shared" si="6"/>
        <v>5246672.7699999996</v>
      </c>
      <c r="O11" s="5">
        <f t="shared" si="6"/>
        <v>0</v>
      </c>
      <c r="P11" s="5">
        <f t="shared" si="6"/>
        <v>5246672.7699999996</v>
      </c>
      <c r="Q11" s="5">
        <f t="shared" ref="Q11:R11" si="9">Q12+Q15</f>
        <v>0</v>
      </c>
      <c r="R11" s="5">
        <f t="shared" si="9"/>
        <v>5246672.7699999996</v>
      </c>
      <c r="S11" s="5">
        <f t="shared" si="6"/>
        <v>5403552.8799999999</v>
      </c>
      <c r="T11" s="5">
        <f t="shared" si="6"/>
        <v>0</v>
      </c>
      <c r="U11" s="5">
        <f t="shared" si="6"/>
        <v>5403552.8799999999</v>
      </c>
    </row>
    <row r="12" spans="1:22" ht="13.5">
      <c r="A12" s="6" t="s">
        <v>17</v>
      </c>
      <c r="B12" s="7" t="s">
        <v>9</v>
      </c>
      <c r="C12" s="7" t="s">
        <v>10</v>
      </c>
      <c r="D12" s="7" t="s">
        <v>12</v>
      </c>
      <c r="E12" s="7" t="s">
        <v>18</v>
      </c>
      <c r="F12" s="7" t="s">
        <v>0</v>
      </c>
      <c r="G12" s="8">
        <f t="shared" ref="G12:U12" si="10">G13+G14</f>
        <v>4417770.04</v>
      </c>
      <c r="H12" s="8">
        <f t="shared" si="10"/>
        <v>0</v>
      </c>
      <c r="I12" s="8">
        <f t="shared" si="10"/>
        <v>4417770.04</v>
      </c>
      <c r="J12" s="8">
        <f t="shared" ref="J12:K12" si="11">J13+J14</f>
        <v>0</v>
      </c>
      <c r="K12" s="8">
        <f t="shared" si="11"/>
        <v>4417770.04</v>
      </c>
      <c r="L12" s="8">
        <f t="shared" ref="L12:M12" si="12">L13+L14</f>
        <v>0</v>
      </c>
      <c r="M12" s="8">
        <f t="shared" si="12"/>
        <v>4417770.04</v>
      </c>
      <c r="N12" s="8">
        <f t="shared" si="10"/>
        <v>4618908.7699999996</v>
      </c>
      <c r="O12" s="8">
        <f t="shared" si="10"/>
        <v>0</v>
      </c>
      <c r="P12" s="8">
        <f t="shared" si="10"/>
        <v>4618908.7699999996</v>
      </c>
      <c r="Q12" s="8">
        <f t="shared" ref="Q12:R12" si="13">Q13+Q14</f>
        <v>0</v>
      </c>
      <c r="R12" s="8">
        <f t="shared" si="13"/>
        <v>4618908.7699999996</v>
      </c>
      <c r="S12" s="8">
        <f t="shared" si="10"/>
        <v>4756939.88</v>
      </c>
      <c r="T12" s="8">
        <f t="shared" si="10"/>
        <v>0</v>
      </c>
      <c r="U12" s="8">
        <f t="shared" si="10"/>
        <v>4756939.88</v>
      </c>
    </row>
    <row r="13" spans="1:22">
      <c r="A13" s="9" t="s">
        <v>19</v>
      </c>
      <c r="B13" s="10" t="s">
        <v>9</v>
      </c>
      <c r="C13" s="10" t="s">
        <v>10</v>
      </c>
      <c r="D13" s="10" t="s">
        <v>12</v>
      </c>
      <c r="E13" s="10" t="s">
        <v>18</v>
      </c>
      <c r="F13" s="10" t="s">
        <v>20</v>
      </c>
      <c r="G13" s="11">
        <v>4256969</v>
      </c>
      <c r="H13" s="11">
        <v>0</v>
      </c>
      <c r="I13" s="11">
        <f>G13+H13</f>
        <v>4256969</v>
      </c>
      <c r="J13" s="11">
        <v>0</v>
      </c>
      <c r="K13" s="11">
        <f>I13+J13</f>
        <v>4256969</v>
      </c>
      <c r="L13" s="11">
        <v>0</v>
      </c>
      <c r="M13" s="11">
        <f>K13+L13</f>
        <v>4256969</v>
      </c>
      <c r="N13" s="11">
        <v>4490866</v>
      </c>
      <c r="O13" s="11">
        <v>0</v>
      </c>
      <c r="P13" s="11">
        <f>N13+O13</f>
        <v>4490866</v>
      </c>
      <c r="Q13" s="11">
        <v>0</v>
      </c>
      <c r="R13" s="11">
        <f>P13+Q13</f>
        <v>4490866</v>
      </c>
      <c r="S13" s="11">
        <v>4625596</v>
      </c>
      <c r="T13" s="11">
        <v>0</v>
      </c>
      <c r="U13" s="11">
        <f>S13+T13</f>
        <v>4625596</v>
      </c>
    </row>
    <row r="14" spans="1:22">
      <c r="A14" s="9" t="s">
        <v>21</v>
      </c>
      <c r="B14" s="10" t="s">
        <v>9</v>
      </c>
      <c r="C14" s="10" t="s">
        <v>10</v>
      </c>
      <c r="D14" s="10" t="s">
        <v>12</v>
      </c>
      <c r="E14" s="10" t="s">
        <v>18</v>
      </c>
      <c r="F14" s="10" t="s">
        <v>22</v>
      </c>
      <c r="G14" s="11">
        <v>160801.04</v>
      </c>
      <c r="H14" s="11">
        <v>0</v>
      </c>
      <c r="I14" s="11">
        <f>G14+H14</f>
        <v>160801.04</v>
      </c>
      <c r="J14" s="11">
        <v>0</v>
      </c>
      <c r="K14" s="11">
        <f>I14+J14</f>
        <v>160801.04</v>
      </c>
      <c r="L14" s="11">
        <v>0</v>
      </c>
      <c r="M14" s="11">
        <f>K14+L14</f>
        <v>160801.04</v>
      </c>
      <c r="N14" s="11">
        <v>128042.77</v>
      </c>
      <c r="O14" s="11">
        <v>0</v>
      </c>
      <c r="P14" s="11">
        <f>N14+O14</f>
        <v>128042.77</v>
      </c>
      <c r="Q14" s="11">
        <v>0</v>
      </c>
      <c r="R14" s="11">
        <f>P14+Q14</f>
        <v>128042.77</v>
      </c>
      <c r="S14" s="11">
        <v>131343.88</v>
      </c>
      <c r="T14" s="11">
        <v>0</v>
      </c>
      <c r="U14" s="11">
        <f>S14+T14</f>
        <v>131343.88</v>
      </c>
    </row>
    <row r="15" spans="1:22" ht="13.5">
      <c r="A15" s="6" t="s">
        <v>23</v>
      </c>
      <c r="B15" s="7" t="s">
        <v>9</v>
      </c>
      <c r="C15" s="7" t="s">
        <v>10</v>
      </c>
      <c r="D15" s="7" t="s">
        <v>12</v>
      </c>
      <c r="E15" s="7" t="s">
        <v>24</v>
      </c>
      <c r="F15" s="7" t="s">
        <v>0</v>
      </c>
      <c r="G15" s="8">
        <f t="shared" ref="G15:U15" si="14">G16+G17</f>
        <v>187747</v>
      </c>
      <c r="H15" s="8">
        <f t="shared" si="14"/>
        <v>0</v>
      </c>
      <c r="I15" s="8">
        <f t="shared" si="14"/>
        <v>187747</v>
      </c>
      <c r="J15" s="8">
        <f t="shared" ref="J15:K15" si="15">J16+J17</f>
        <v>0</v>
      </c>
      <c r="K15" s="8">
        <f t="shared" si="15"/>
        <v>187747</v>
      </c>
      <c r="L15" s="8">
        <f t="shared" ref="L15:M15" si="16">L16+L17</f>
        <v>0</v>
      </c>
      <c r="M15" s="8">
        <f t="shared" si="16"/>
        <v>187747</v>
      </c>
      <c r="N15" s="8">
        <f t="shared" si="14"/>
        <v>627764</v>
      </c>
      <c r="O15" s="8">
        <f t="shared" si="14"/>
        <v>0</v>
      </c>
      <c r="P15" s="8">
        <f t="shared" si="14"/>
        <v>627764</v>
      </c>
      <c r="Q15" s="8">
        <f t="shared" ref="Q15:R15" si="17">Q16+Q17</f>
        <v>0</v>
      </c>
      <c r="R15" s="8">
        <f t="shared" si="17"/>
        <v>627764</v>
      </c>
      <c r="S15" s="8">
        <f t="shared" si="14"/>
        <v>646613</v>
      </c>
      <c r="T15" s="8">
        <f t="shared" si="14"/>
        <v>0</v>
      </c>
      <c r="U15" s="8">
        <f t="shared" si="14"/>
        <v>646613</v>
      </c>
    </row>
    <row r="16" spans="1:22">
      <c r="A16" s="9" t="s">
        <v>19</v>
      </c>
      <c r="B16" s="10" t="s">
        <v>9</v>
      </c>
      <c r="C16" s="10" t="s">
        <v>10</v>
      </c>
      <c r="D16" s="10" t="s">
        <v>12</v>
      </c>
      <c r="E16" s="10" t="s">
        <v>24</v>
      </c>
      <c r="F16" s="10" t="s">
        <v>20</v>
      </c>
      <c r="G16" s="11">
        <v>101551</v>
      </c>
      <c r="H16" s="11">
        <v>0</v>
      </c>
      <c r="I16" s="11">
        <f>G16+H16</f>
        <v>101551</v>
      </c>
      <c r="J16" s="11">
        <v>0</v>
      </c>
      <c r="K16" s="11">
        <f>I16+J16</f>
        <v>101551</v>
      </c>
      <c r="L16" s="11">
        <v>0</v>
      </c>
      <c r="M16" s="11">
        <f>K16+L16</f>
        <v>101551</v>
      </c>
      <c r="N16" s="11">
        <v>538982</v>
      </c>
      <c r="O16" s="11">
        <v>0</v>
      </c>
      <c r="P16" s="11">
        <f>N16+O16</f>
        <v>538982</v>
      </c>
      <c r="Q16" s="11">
        <v>0</v>
      </c>
      <c r="R16" s="11">
        <f>P16+Q16</f>
        <v>538982</v>
      </c>
      <c r="S16" s="11">
        <v>555168</v>
      </c>
      <c r="T16" s="11">
        <v>0</v>
      </c>
      <c r="U16" s="11">
        <f>S16+T16</f>
        <v>555168</v>
      </c>
    </row>
    <row r="17" spans="1:22">
      <c r="A17" s="9" t="s">
        <v>21</v>
      </c>
      <c r="B17" s="10" t="s">
        <v>9</v>
      </c>
      <c r="C17" s="10" t="s">
        <v>10</v>
      </c>
      <c r="D17" s="10" t="s">
        <v>12</v>
      </c>
      <c r="E17" s="10" t="s">
        <v>24</v>
      </c>
      <c r="F17" s="10" t="s">
        <v>22</v>
      </c>
      <c r="G17" s="11">
        <v>86196</v>
      </c>
      <c r="H17" s="11">
        <v>0</v>
      </c>
      <c r="I17" s="11">
        <f>G17+H17</f>
        <v>86196</v>
      </c>
      <c r="J17" s="11">
        <v>0</v>
      </c>
      <c r="K17" s="11">
        <f>I17+J17</f>
        <v>86196</v>
      </c>
      <c r="L17" s="11">
        <v>0</v>
      </c>
      <c r="M17" s="11">
        <f>K17+L17</f>
        <v>86196</v>
      </c>
      <c r="N17" s="11">
        <v>88782</v>
      </c>
      <c r="O17" s="11">
        <v>0</v>
      </c>
      <c r="P17" s="11">
        <f>N17+O17</f>
        <v>88782</v>
      </c>
      <c r="Q17" s="11">
        <v>0</v>
      </c>
      <c r="R17" s="11">
        <f>P17+Q17</f>
        <v>88782</v>
      </c>
      <c r="S17" s="11">
        <v>91445</v>
      </c>
      <c r="T17" s="11">
        <v>0</v>
      </c>
      <c r="U17" s="11">
        <f>S17+T17</f>
        <v>91445</v>
      </c>
    </row>
    <row r="18" spans="1:22" s="17" customFormat="1" ht="25.5">
      <c r="A18" s="26" t="s">
        <v>8</v>
      </c>
      <c r="B18" s="27" t="s">
        <v>9</v>
      </c>
      <c r="C18" s="27" t="s">
        <v>0</v>
      </c>
      <c r="D18" s="27" t="s">
        <v>0</v>
      </c>
      <c r="E18" s="27" t="s">
        <v>0</v>
      </c>
      <c r="F18" s="27" t="s">
        <v>0</v>
      </c>
      <c r="G18" s="28">
        <f t="shared" ref="G18:P18" si="18">G19+G80+G111+G133+G162+G203+G209+G152+G157+G198</f>
        <v>317197206.26982546</v>
      </c>
      <c r="H18" s="28">
        <f t="shared" si="18"/>
        <v>216768039.46000001</v>
      </c>
      <c r="I18" s="28">
        <f t="shared" si="18"/>
        <v>533965245.7298255</v>
      </c>
      <c r="J18" s="28">
        <f>J19+J80+J111+J133+J162+J203+J209+J152+J157+J198</f>
        <v>15417451.01</v>
      </c>
      <c r="K18" s="28">
        <f t="shared" ref="K18" si="19">K19+K80+K111+K133+K162+K203+K209+K152+K157+K198</f>
        <v>549382696.73982549</v>
      </c>
      <c r="L18" s="28">
        <f>L19+L80+L111+L133+L162+L203+L209+L152+L157+L198</f>
        <v>18943821.330000002</v>
      </c>
      <c r="M18" s="28">
        <f t="shared" ref="M18" si="20">M19+M80+M111+M133+M162+M203+M209+M152+M157+M198</f>
        <v>568326518.06982541</v>
      </c>
      <c r="N18" s="28">
        <f t="shared" si="18"/>
        <v>306772608.50217533</v>
      </c>
      <c r="O18" s="28">
        <f t="shared" si="18"/>
        <v>2354298.17</v>
      </c>
      <c r="P18" s="28">
        <f t="shared" si="18"/>
        <v>309126906.67217535</v>
      </c>
      <c r="Q18" s="28">
        <f t="shared" ref="Q18:T18" si="21">Q19+Q80+Q111+Q133+Q162+Q203+Q209+Q152+Q157+Q198</f>
        <v>6659834.4299999997</v>
      </c>
      <c r="R18" s="28">
        <f t="shared" si="21"/>
        <v>315786741.10217535</v>
      </c>
      <c r="S18" s="28">
        <f t="shared" si="21"/>
        <v>323735037.79769826</v>
      </c>
      <c r="T18" s="28">
        <f t="shared" si="21"/>
        <v>9175208.9100000001</v>
      </c>
      <c r="U18" s="28">
        <f>U19+U80+U111+U133+U162+U203+U209+U152+U157+U198</f>
        <v>332910246.70769823</v>
      </c>
      <c r="V18" s="101"/>
    </row>
    <row r="19" spans="1:22" s="17" customFormat="1">
      <c r="A19" s="14" t="s">
        <v>230</v>
      </c>
      <c r="B19" s="15" t="s">
        <v>9</v>
      </c>
      <c r="C19" s="15" t="s">
        <v>10</v>
      </c>
      <c r="D19" s="15" t="s">
        <v>0</v>
      </c>
      <c r="E19" s="15" t="s">
        <v>0</v>
      </c>
      <c r="F19" s="15" t="s">
        <v>0</v>
      </c>
      <c r="G19" s="16">
        <f t="shared" ref="G19:M19" si="22">G20+G26+G40+G47+G54</f>
        <v>184785392.38999999</v>
      </c>
      <c r="H19" s="16">
        <f t="shared" si="22"/>
        <v>15802815.200000001</v>
      </c>
      <c r="I19" s="16">
        <f t="shared" si="22"/>
        <v>200588207.59</v>
      </c>
      <c r="J19" s="16">
        <f t="shared" si="22"/>
        <v>869384.42</v>
      </c>
      <c r="K19" s="16">
        <f t="shared" si="22"/>
        <v>201457592.01000002</v>
      </c>
      <c r="L19" s="16">
        <f t="shared" si="22"/>
        <v>13605367.74</v>
      </c>
      <c r="M19" s="16">
        <f t="shared" si="22"/>
        <v>215062959.75</v>
      </c>
      <c r="N19" s="16">
        <f t="shared" ref="N19:U19" si="23">N20+N26+N47+N54</f>
        <v>197255018.15000001</v>
      </c>
      <c r="O19" s="16">
        <f t="shared" si="23"/>
        <v>2354298.17</v>
      </c>
      <c r="P19" s="16">
        <f t="shared" si="23"/>
        <v>199609316.31999999</v>
      </c>
      <c r="Q19" s="16">
        <f t="shared" si="23"/>
        <v>-1471436.36</v>
      </c>
      <c r="R19" s="16">
        <f t="shared" si="23"/>
        <v>198137879.96000001</v>
      </c>
      <c r="S19" s="16">
        <f t="shared" si="23"/>
        <v>211865807.23000002</v>
      </c>
      <c r="T19" s="16">
        <f t="shared" si="23"/>
        <v>0</v>
      </c>
      <c r="U19" s="16">
        <f t="shared" si="23"/>
        <v>211865807.23000002</v>
      </c>
    </row>
    <row r="20" spans="1:22" s="17" customFormat="1" ht="25.5">
      <c r="A20" s="14" t="s">
        <v>26</v>
      </c>
      <c r="B20" s="15" t="s">
        <v>9</v>
      </c>
      <c r="C20" s="15" t="s">
        <v>10</v>
      </c>
      <c r="D20" s="15" t="s">
        <v>27</v>
      </c>
      <c r="E20" s="15" t="s">
        <v>0</v>
      </c>
      <c r="F20" s="15" t="s">
        <v>0</v>
      </c>
      <c r="G20" s="16">
        <f t="shared" ref="G20:M23" si="24">G21</f>
        <v>7771341.7699999996</v>
      </c>
      <c r="H20" s="16">
        <f t="shared" si="24"/>
        <v>0</v>
      </c>
      <c r="I20" s="16">
        <f t="shared" si="24"/>
        <v>7771341.7699999996</v>
      </c>
      <c r="J20" s="16">
        <f t="shared" si="24"/>
        <v>0</v>
      </c>
      <c r="K20" s="16">
        <f t="shared" si="24"/>
        <v>7771341.7699999996</v>
      </c>
      <c r="L20" s="16">
        <f t="shared" si="24"/>
        <v>4498517.4800000004</v>
      </c>
      <c r="M20" s="16">
        <f t="shared" si="24"/>
        <v>12269859.25</v>
      </c>
      <c r="N20" s="16">
        <f t="shared" ref="N20:U23" si="25">N21</f>
        <v>8006291.0300000003</v>
      </c>
      <c r="O20" s="16">
        <f t="shared" si="25"/>
        <v>0</v>
      </c>
      <c r="P20" s="16">
        <f t="shared" si="25"/>
        <v>8006291.0300000003</v>
      </c>
      <c r="Q20" s="16">
        <f t="shared" si="25"/>
        <v>0</v>
      </c>
      <c r="R20" s="16">
        <f t="shared" si="25"/>
        <v>8006291.0300000003</v>
      </c>
      <c r="S20" s="16">
        <f t="shared" si="25"/>
        <v>8246481.0800000001</v>
      </c>
      <c r="T20" s="16">
        <f t="shared" si="25"/>
        <v>0</v>
      </c>
      <c r="U20" s="16">
        <f t="shared" si="25"/>
        <v>8246481.0800000001</v>
      </c>
    </row>
    <row r="21" spans="1:22" s="17" customFormat="1">
      <c r="A21" s="14" t="s">
        <v>13</v>
      </c>
      <c r="B21" s="15" t="s">
        <v>9</v>
      </c>
      <c r="C21" s="15" t="s">
        <v>10</v>
      </c>
      <c r="D21" s="15" t="s">
        <v>27</v>
      </c>
      <c r="E21" s="15" t="s">
        <v>14</v>
      </c>
      <c r="F21" s="15" t="s">
        <v>0</v>
      </c>
      <c r="G21" s="16">
        <f t="shared" si="24"/>
        <v>7771341.7699999996</v>
      </c>
      <c r="H21" s="16">
        <f t="shared" si="24"/>
        <v>0</v>
      </c>
      <c r="I21" s="16">
        <f t="shared" si="24"/>
        <v>7771341.7699999996</v>
      </c>
      <c r="J21" s="16">
        <f t="shared" si="24"/>
        <v>0</v>
      </c>
      <c r="K21" s="16">
        <f t="shared" si="24"/>
        <v>7771341.7699999996</v>
      </c>
      <c r="L21" s="16">
        <f t="shared" si="24"/>
        <v>4498517.4800000004</v>
      </c>
      <c r="M21" s="16">
        <f t="shared" si="24"/>
        <v>12269859.25</v>
      </c>
      <c r="N21" s="16">
        <f t="shared" si="25"/>
        <v>8006291.0300000003</v>
      </c>
      <c r="O21" s="16">
        <f t="shared" si="25"/>
        <v>0</v>
      </c>
      <c r="P21" s="16">
        <f t="shared" si="25"/>
        <v>8006291.0300000003</v>
      </c>
      <c r="Q21" s="16">
        <f t="shared" si="25"/>
        <v>0</v>
      </c>
      <c r="R21" s="16">
        <f t="shared" si="25"/>
        <v>8006291.0300000003</v>
      </c>
      <c r="S21" s="16">
        <f t="shared" si="25"/>
        <v>8246481.0800000001</v>
      </c>
      <c r="T21" s="16">
        <f t="shared" si="25"/>
        <v>0</v>
      </c>
      <c r="U21" s="16">
        <f t="shared" si="25"/>
        <v>8246481.0800000001</v>
      </c>
    </row>
    <row r="22" spans="1:22" s="17" customFormat="1" ht="25.5">
      <c r="A22" s="14" t="s">
        <v>15</v>
      </c>
      <c r="B22" s="15" t="s">
        <v>9</v>
      </c>
      <c r="C22" s="15" t="s">
        <v>10</v>
      </c>
      <c r="D22" s="15" t="s">
        <v>27</v>
      </c>
      <c r="E22" s="15" t="s">
        <v>16</v>
      </c>
      <c r="F22" s="15" t="s">
        <v>0</v>
      </c>
      <c r="G22" s="16">
        <f t="shared" si="24"/>
        <v>7771341.7699999996</v>
      </c>
      <c r="H22" s="16">
        <f t="shared" si="24"/>
        <v>0</v>
      </c>
      <c r="I22" s="16">
        <f t="shared" si="24"/>
        <v>7771341.7699999996</v>
      </c>
      <c r="J22" s="16">
        <f t="shared" si="24"/>
        <v>0</v>
      </c>
      <c r="K22" s="16">
        <f t="shared" si="24"/>
        <v>7771341.7699999996</v>
      </c>
      <c r="L22" s="16">
        <f t="shared" si="24"/>
        <v>4498517.4800000004</v>
      </c>
      <c r="M22" s="16">
        <f t="shared" si="24"/>
        <v>12269859.25</v>
      </c>
      <c r="N22" s="16">
        <f t="shared" si="25"/>
        <v>8006291.0300000003</v>
      </c>
      <c r="O22" s="16">
        <f t="shared" si="25"/>
        <v>0</v>
      </c>
      <c r="P22" s="16">
        <f t="shared" si="25"/>
        <v>8006291.0300000003</v>
      </c>
      <c r="Q22" s="16">
        <f t="shared" si="25"/>
        <v>0</v>
      </c>
      <c r="R22" s="16">
        <f t="shared" si="25"/>
        <v>8006291.0300000003</v>
      </c>
      <c r="S22" s="16">
        <f t="shared" si="25"/>
        <v>8246481.0800000001</v>
      </c>
      <c r="T22" s="16">
        <f t="shared" si="25"/>
        <v>0</v>
      </c>
      <c r="U22" s="16">
        <f t="shared" si="25"/>
        <v>8246481.0800000001</v>
      </c>
    </row>
    <row r="23" spans="1:22" s="17" customFormat="1" ht="13.5">
      <c r="A23" s="18" t="s">
        <v>28</v>
      </c>
      <c r="B23" s="19" t="s">
        <v>9</v>
      </c>
      <c r="C23" s="19" t="s">
        <v>10</v>
      </c>
      <c r="D23" s="19" t="s">
        <v>27</v>
      </c>
      <c r="E23" s="19" t="s">
        <v>29</v>
      </c>
      <c r="F23" s="19" t="s">
        <v>0</v>
      </c>
      <c r="G23" s="20">
        <f t="shared" si="24"/>
        <v>7771341.7699999996</v>
      </c>
      <c r="H23" s="20">
        <f t="shared" si="24"/>
        <v>0</v>
      </c>
      <c r="I23" s="20">
        <f t="shared" si="24"/>
        <v>7771341.7699999996</v>
      </c>
      <c r="J23" s="20">
        <f t="shared" si="24"/>
        <v>0</v>
      </c>
      <c r="K23" s="20">
        <f t="shared" si="24"/>
        <v>7771341.7699999996</v>
      </c>
      <c r="L23" s="20">
        <f>L24+L25</f>
        <v>4498517.4800000004</v>
      </c>
      <c r="M23" s="20">
        <f t="shared" ref="M23:R23" si="26">M24+M25</f>
        <v>12269859.25</v>
      </c>
      <c r="N23" s="20">
        <f t="shared" si="26"/>
        <v>8006291.0300000003</v>
      </c>
      <c r="O23" s="20">
        <f t="shared" si="26"/>
        <v>0</v>
      </c>
      <c r="P23" s="20">
        <f t="shared" si="26"/>
        <v>8006291.0300000003</v>
      </c>
      <c r="Q23" s="20">
        <f t="shared" si="26"/>
        <v>0</v>
      </c>
      <c r="R23" s="20">
        <f t="shared" si="26"/>
        <v>8006291.0300000003</v>
      </c>
      <c r="S23" s="20">
        <f>S24+S25</f>
        <v>8246481.0800000001</v>
      </c>
      <c r="T23" s="20">
        <f t="shared" si="25"/>
        <v>0</v>
      </c>
      <c r="U23" s="20">
        <f t="shared" si="25"/>
        <v>8246481.0800000001</v>
      </c>
    </row>
    <row r="24" spans="1:22" s="17" customFormat="1">
      <c r="A24" s="21" t="s">
        <v>19</v>
      </c>
      <c r="B24" s="22" t="s">
        <v>9</v>
      </c>
      <c r="C24" s="22" t="s">
        <v>10</v>
      </c>
      <c r="D24" s="22" t="s">
        <v>27</v>
      </c>
      <c r="E24" s="22" t="s">
        <v>29</v>
      </c>
      <c r="F24" s="22" t="s">
        <v>20</v>
      </c>
      <c r="G24" s="46">
        <v>7771341.7699999996</v>
      </c>
      <c r="H24" s="46">
        <v>0</v>
      </c>
      <c r="I24" s="46">
        <f>G24+H24</f>
        <v>7771341.7699999996</v>
      </c>
      <c r="J24" s="46">
        <v>0</v>
      </c>
      <c r="K24" s="46">
        <f>I24+J24</f>
        <v>7771341.7699999996</v>
      </c>
      <c r="L24" s="46">
        <f>2978291.31+155501.17</f>
        <v>3133792.48</v>
      </c>
      <c r="M24" s="46">
        <f>K24+L24</f>
        <v>10905134.25</v>
      </c>
      <c r="N24" s="46">
        <v>8006291.0300000003</v>
      </c>
      <c r="O24" s="46">
        <v>0</v>
      </c>
      <c r="P24" s="46">
        <f>N24+O24</f>
        <v>8006291.0300000003</v>
      </c>
      <c r="Q24" s="46">
        <v>0</v>
      </c>
      <c r="R24" s="46">
        <f>P24+Q24</f>
        <v>8006291.0300000003</v>
      </c>
      <c r="S24" s="46">
        <v>8246481.0800000001</v>
      </c>
      <c r="T24" s="46">
        <v>0</v>
      </c>
      <c r="U24" s="46">
        <f>S24+T24</f>
        <v>8246481.0800000001</v>
      </c>
    </row>
    <row r="25" spans="1:22" s="17" customFormat="1">
      <c r="A25" s="90" t="s">
        <v>72</v>
      </c>
      <c r="B25" s="22" t="s">
        <v>9</v>
      </c>
      <c r="C25" s="22" t="s">
        <v>10</v>
      </c>
      <c r="D25" s="22" t="s">
        <v>27</v>
      </c>
      <c r="E25" s="22" t="s">
        <v>29</v>
      </c>
      <c r="F25" s="22">
        <v>300</v>
      </c>
      <c r="G25" s="46"/>
      <c r="H25" s="46"/>
      <c r="I25" s="46"/>
      <c r="J25" s="46"/>
      <c r="K25" s="46">
        <v>0</v>
      </c>
      <c r="L25" s="46">
        <v>1364725</v>
      </c>
      <c r="M25" s="46">
        <f>K25+L25</f>
        <v>1364725</v>
      </c>
      <c r="N25" s="46"/>
      <c r="O25" s="46"/>
      <c r="P25" s="46">
        <f>N25+O25</f>
        <v>0</v>
      </c>
      <c r="Q25" s="46">
        <v>0</v>
      </c>
      <c r="R25" s="46">
        <f>P25+Q25</f>
        <v>0</v>
      </c>
      <c r="S25" s="46">
        <v>0</v>
      </c>
      <c r="T25" s="46">
        <v>0</v>
      </c>
      <c r="U25" s="46">
        <v>0</v>
      </c>
    </row>
    <row r="26" spans="1:22" s="17" customFormat="1" ht="38.25">
      <c r="A26" s="14" t="s">
        <v>30</v>
      </c>
      <c r="B26" s="15" t="s">
        <v>9</v>
      </c>
      <c r="C26" s="15" t="s">
        <v>10</v>
      </c>
      <c r="D26" s="15" t="s">
        <v>31</v>
      </c>
      <c r="E26" s="15" t="s">
        <v>0</v>
      </c>
      <c r="F26" s="15" t="s">
        <v>0</v>
      </c>
      <c r="G26" s="52">
        <f t="shared" ref="G26:U26" si="27">G27+G32</f>
        <v>151646567.13999999</v>
      </c>
      <c r="H26" s="52">
        <f t="shared" si="27"/>
        <v>800857.9</v>
      </c>
      <c r="I26" s="52">
        <f t="shared" si="27"/>
        <v>152447425.03999999</v>
      </c>
      <c r="J26" s="52">
        <f t="shared" ref="J26:K26" si="28">J27+J32</f>
        <v>0</v>
      </c>
      <c r="K26" s="52">
        <f t="shared" si="28"/>
        <v>152447425.03999999</v>
      </c>
      <c r="L26" s="52">
        <f t="shared" ref="L26:M26" si="29">L27+L32</f>
        <v>0</v>
      </c>
      <c r="M26" s="52">
        <f t="shared" si="29"/>
        <v>152447425.03999999</v>
      </c>
      <c r="N26" s="52">
        <f t="shared" si="27"/>
        <v>155982954.53999999</v>
      </c>
      <c r="O26" s="52">
        <f t="shared" si="27"/>
        <v>0</v>
      </c>
      <c r="P26" s="52">
        <f t="shared" si="27"/>
        <v>155982954.53999999</v>
      </c>
      <c r="Q26" s="52">
        <f t="shared" ref="Q26:R26" si="30">Q27+Q32</f>
        <v>0</v>
      </c>
      <c r="R26" s="52">
        <f t="shared" si="30"/>
        <v>155982954.53999999</v>
      </c>
      <c r="S26" s="52">
        <f t="shared" si="27"/>
        <v>158913053.25999999</v>
      </c>
      <c r="T26" s="52">
        <f t="shared" si="27"/>
        <v>0</v>
      </c>
      <c r="U26" s="52">
        <f t="shared" si="27"/>
        <v>158913053.25999999</v>
      </c>
    </row>
    <row r="27" spans="1:22" s="17" customFormat="1">
      <c r="A27" s="14" t="s">
        <v>32</v>
      </c>
      <c r="B27" s="15" t="s">
        <v>9</v>
      </c>
      <c r="C27" s="15" t="s">
        <v>10</v>
      </c>
      <c r="D27" s="15" t="s">
        <v>31</v>
      </c>
      <c r="E27" s="15" t="s">
        <v>33</v>
      </c>
      <c r="F27" s="15" t="s">
        <v>0</v>
      </c>
      <c r="G27" s="52">
        <f t="shared" ref="G27:U28" si="31">G28</f>
        <v>294937</v>
      </c>
      <c r="H27" s="52">
        <f t="shared" si="31"/>
        <v>0</v>
      </c>
      <c r="I27" s="52">
        <f t="shared" si="31"/>
        <v>294937</v>
      </c>
      <c r="J27" s="52">
        <f t="shared" si="31"/>
        <v>0</v>
      </c>
      <c r="K27" s="52">
        <f t="shared" si="31"/>
        <v>294937</v>
      </c>
      <c r="L27" s="52">
        <f t="shared" si="31"/>
        <v>0</v>
      </c>
      <c r="M27" s="52">
        <f t="shared" si="31"/>
        <v>294937</v>
      </c>
      <c r="N27" s="52">
        <f t="shared" si="31"/>
        <v>925373.16</v>
      </c>
      <c r="O27" s="52">
        <f t="shared" si="31"/>
        <v>0</v>
      </c>
      <c r="P27" s="52">
        <f t="shared" si="31"/>
        <v>925373.16</v>
      </c>
      <c r="Q27" s="52">
        <f t="shared" si="31"/>
        <v>0</v>
      </c>
      <c r="R27" s="52">
        <f t="shared" si="31"/>
        <v>925373.16</v>
      </c>
      <c r="S27" s="52">
        <f t="shared" si="31"/>
        <v>925373.16</v>
      </c>
      <c r="T27" s="52">
        <f t="shared" si="31"/>
        <v>0</v>
      </c>
      <c r="U27" s="52">
        <f t="shared" si="31"/>
        <v>925373.16</v>
      </c>
    </row>
    <row r="28" spans="1:22" s="17" customFormat="1">
      <c r="A28" s="14" t="s">
        <v>34</v>
      </c>
      <c r="B28" s="15" t="s">
        <v>9</v>
      </c>
      <c r="C28" s="15" t="s">
        <v>10</v>
      </c>
      <c r="D28" s="15" t="s">
        <v>31</v>
      </c>
      <c r="E28" s="15" t="s">
        <v>35</v>
      </c>
      <c r="F28" s="15" t="s">
        <v>0</v>
      </c>
      <c r="G28" s="52">
        <f t="shared" si="31"/>
        <v>294937</v>
      </c>
      <c r="H28" s="52">
        <f t="shared" si="31"/>
        <v>0</v>
      </c>
      <c r="I28" s="52">
        <f t="shared" si="31"/>
        <v>294937</v>
      </c>
      <c r="J28" s="52">
        <f t="shared" si="31"/>
        <v>0</v>
      </c>
      <c r="K28" s="52">
        <f t="shared" si="31"/>
        <v>294937</v>
      </c>
      <c r="L28" s="52">
        <f t="shared" si="31"/>
        <v>0</v>
      </c>
      <c r="M28" s="52">
        <f t="shared" si="31"/>
        <v>294937</v>
      </c>
      <c r="N28" s="52">
        <f t="shared" si="31"/>
        <v>925373.16</v>
      </c>
      <c r="O28" s="52">
        <f t="shared" si="31"/>
        <v>0</v>
      </c>
      <c r="P28" s="52">
        <f t="shared" si="31"/>
        <v>925373.16</v>
      </c>
      <c r="Q28" s="52">
        <f t="shared" si="31"/>
        <v>0</v>
      </c>
      <c r="R28" s="52">
        <f t="shared" si="31"/>
        <v>925373.16</v>
      </c>
      <c r="S28" s="52">
        <f t="shared" si="31"/>
        <v>925373.16</v>
      </c>
      <c r="T28" s="52">
        <f t="shared" si="31"/>
        <v>0</v>
      </c>
      <c r="U28" s="52">
        <f t="shared" si="31"/>
        <v>925373.16</v>
      </c>
    </row>
    <row r="29" spans="1:22" s="17" customFormat="1" ht="13.5">
      <c r="A29" s="18" t="s">
        <v>36</v>
      </c>
      <c r="B29" s="19" t="s">
        <v>9</v>
      </c>
      <c r="C29" s="19" t="s">
        <v>10</v>
      </c>
      <c r="D29" s="19" t="s">
        <v>31</v>
      </c>
      <c r="E29" s="19" t="s">
        <v>37</v>
      </c>
      <c r="F29" s="19" t="s">
        <v>0</v>
      </c>
      <c r="G29" s="33">
        <f t="shared" ref="G29:U29" si="32">G30+G31</f>
        <v>294937</v>
      </c>
      <c r="H29" s="33">
        <f t="shared" si="32"/>
        <v>0</v>
      </c>
      <c r="I29" s="33">
        <f t="shared" si="32"/>
        <v>294937</v>
      </c>
      <c r="J29" s="33">
        <f t="shared" ref="J29:K29" si="33">J30+J31</f>
        <v>0</v>
      </c>
      <c r="K29" s="33">
        <f t="shared" si="33"/>
        <v>294937</v>
      </c>
      <c r="L29" s="33">
        <f t="shared" ref="L29:M29" si="34">L30+L31</f>
        <v>0</v>
      </c>
      <c r="M29" s="33">
        <f t="shared" si="34"/>
        <v>294937</v>
      </c>
      <c r="N29" s="33">
        <f t="shared" si="32"/>
        <v>925373.16</v>
      </c>
      <c r="O29" s="33">
        <f t="shared" si="32"/>
        <v>0</v>
      </c>
      <c r="P29" s="33">
        <f t="shared" si="32"/>
        <v>925373.16</v>
      </c>
      <c r="Q29" s="33">
        <f t="shared" ref="Q29:R29" si="35">Q30+Q31</f>
        <v>0</v>
      </c>
      <c r="R29" s="33">
        <f t="shared" si="35"/>
        <v>925373.16</v>
      </c>
      <c r="S29" s="33">
        <f t="shared" si="32"/>
        <v>925373.16</v>
      </c>
      <c r="T29" s="33">
        <f t="shared" si="32"/>
        <v>0</v>
      </c>
      <c r="U29" s="33">
        <f t="shared" si="32"/>
        <v>925373.16</v>
      </c>
    </row>
    <row r="30" spans="1:22" s="17" customFormat="1">
      <c r="A30" s="21" t="s">
        <v>19</v>
      </c>
      <c r="B30" s="22" t="s">
        <v>9</v>
      </c>
      <c r="C30" s="22" t="s">
        <v>10</v>
      </c>
      <c r="D30" s="22" t="s">
        <v>31</v>
      </c>
      <c r="E30" s="22" t="s">
        <v>37</v>
      </c>
      <c r="F30" s="22" t="s">
        <v>20</v>
      </c>
      <c r="G30" s="46">
        <v>0</v>
      </c>
      <c r="H30" s="46">
        <v>0</v>
      </c>
      <c r="I30" s="46">
        <f>G30+H30</f>
        <v>0</v>
      </c>
      <c r="J30" s="46">
        <v>0</v>
      </c>
      <c r="K30" s="46">
        <f>I30+J30</f>
        <v>0</v>
      </c>
      <c r="L30" s="46">
        <v>0</v>
      </c>
      <c r="M30" s="46">
        <f>K30+L30</f>
        <v>0</v>
      </c>
      <c r="N30" s="46">
        <v>642475.16</v>
      </c>
      <c r="O30" s="46">
        <v>0</v>
      </c>
      <c r="P30" s="46">
        <f>N30+O30</f>
        <v>642475.16</v>
      </c>
      <c r="Q30" s="46">
        <v>0</v>
      </c>
      <c r="R30" s="46">
        <f>P30+Q30</f>
        <v>642475.16</v>
      </c>
      <c r="S30" s="46">
        <v>643231.16</v>
      </c>
      <c r="T30" s="46">
        <v>0</v>
      </c>
      <c r="U30" s="46">
        <f>S30+T30</f>
        <v>643231.16</v>
      </c>
    </row>
    <row r="31" spans="1:22" s="17" customFormat="1">
      <c r="A31" s="21" t="s">
        <v>21</v>
      </c>
      <c r="B31" s="22" t="s">
        <v>9</v>
      </c>
      <c r="C31" s="22" t="s">
        <v>10</v>
      </c>
      <c r="D31" s="22" t="s">
        <v>31</v>
      </c>
      <c r="E31" s="22" t="s">
        <v>37</v>
      </c>
      <c r="F31" s="22" t="s">
        <v>22</v>
      </c>
      <c r="G31" s="46">
        <v>294937</v>
      </c>
      <c r="H31" s="46">
        <v>0</v>
      </c>
      <c r="I31" s="46">
        <f>G31+H31</f>
        <v>294937</v>
      </c>
      <c r="J31" s="46">
        <v>0</v>
      </c>
      <c r="K31" s="46">
        <f>I31+J31</f>
        <v>294937</v>
      </c>
      <c r="L31" s="46">
        <v>0</v>
      </c>
      <c r="M31" s="46">
        <f>K31+L31</f>
        <v>294937</v>
      </c>
      <c r="N31" s="46">
        <v>282898</v>
      </c>
      <c r="O31" s="46">
        <v>0</v>
      </c>
      <c r="P31" s="46">
        <f>N31+O31</f>
        <v>282898</v>
      </c>
      <c r="Q31" s="46">
        <v>0</v>
      </c>
      <c r="R31" s="46">
        <f>P31+Q31</f>
        <v>282898</v>
      </c>
      <c r="S31" s="46">
        <v>282142</v>
      </c>
      <c r="T31" s="46">
        <v>0</v>
      </c>
      <c r="U31" s="46">
        <f>S31+T31</f>
        <v>282142</v>
      </c>
    </row>
    <row r="32" spans="1:22" s="17" customFormat="1">
      <c r="A32" s="14" t="s">
        <v>13</v>
      </c>
      <c r="B32" s="15" t="s">
        <v>9</v>
      </c>
      <c r="C32" s="15" t="s">
        <v>10</v>
      </c>
      <c r="D32" s="15" t="s">
        <v>31</v>
      </c>
      <c r="E32" s="15" t="s">
        <v>14</v>
      </c>
      <c r="F32" s="15" t="s">
        <v>0</v>
      </c>
      <c r="G32" s="52">
        <f t="shared" ref="G32:U33" si="36">G33</f>
        <v>151351630.13999999</v>
      </c>
      <c r="H32" s="52">
        <f t="shared" si="36"/>
        <v>800857.9</v>
      </c>
      <c r="I32" s="52">
        <f t="shared" si="36"/>
        <v>152152488.03999999</v>
      </c>
      <c r="J32" s="52">
        <f t="shared" si="36"/>
        <v>0</v>
      </c>
      <c r="K32" s="52">
        <f t="shared" si="36"/>
        <v>152152488.03999999</v>
      </c>
      <c r="L32" s="52">
        <f t="shared" si="36"/>
        <v>0</v>
      </c>
      <c r="M32" s="52">
        <f t="shared" si="36"/>
        <v>152152488.03999999</v>
      </c>
      <c r="N32" s="52">
        <f t="shared" si="36"/>
        <v>155057581.38</v>
      </c>
      <c r="O32" s="52">
        <f t="shared" si="36"/>
        <v>0</v>
      </c>
      <c r="P32" s="52">
        <f t="shared" si="36"/>
        <v>155057581.38</v>
      </c>
      <c r="Q32" s="52">
        <f t="shared" si="36"/>
        <v>0</v>
      </c>
      <c r="R32" s="52">
        <f t="shared" si="36"/>
        <v>155057581.38</v>
      </c>
      <c r="S32" s="52">
        <f t="shared" si="36"/>
        <v>157987680.09999999</v>
      </c>
      <c r="T32" s="52">
        <f t="shared" si="36"/>
        <v>0</v>
      </c>
      <c r="U32" s="52">
        <f t="shared" si="36"/>
        <v>157987680.09999999</v>
      </c>
    </row>
    <row r="33" spans="1:21" s="17" customFormat="1" ht="25.5">
      <c r="A33" s="14" t="s">
        <v>15</v>
      </c>
      <c r="B33" s="15" t="s">
        <v>9</v>
      </c>
      <c r="C33" s="15" t="s">
        <v>10</v>
      </c>
      <c r="D33" s="15" t="s">
        <v>31</v>
      </c>
      <c r="E33" s="15" t="s">
        <v>16</v>
      </c>
      <c r="F33" s="15" t="s">
        <v>0</v>
      </c>
      <c r="G33" s="52">
        <f t="shared" si="36"/>
        <v>151351630.13999999</v>
      </c>
      <c r="H33" s="52">
        <f t="shared" si="36"/>
        <v>800857.9</v>
      </c>
      <c r="I33" s="52">
        <f t="shared" si="36"/>
        <v>152152488.03999999</v>
      </c>
      <c r="J33" s="52">
        <f t="shared" si="36"/>
        <v>0</v>
      </c>
      <c r="K33" s="52">
        <f t="shared" si="36"/>
        <v>152152488.03999999</v>
      </c>
      <c r="L33" s="52">
        <f t="shared" si="36"/>
        <v>0</v>
      </c>
      <c r="M33" s="52">
        <f t="shared" si="36"/>
        <v>152152488.03999999</v>
      </c>
      <c r="N33" s="52">
        <f t="shared" si="36"/>
        <v>155057581.38</v>
      </c>
      <c r="O33" s="52">
        <f t="shared" si="36"/>
        <v>0</v>
      </c>
      <c r="P33" s="52">
        <f t="shared" si="36"/>
        <v>155057581.38</v>
      </c>
      <c r="Q33" s="52">
        <f t="shared" si="36"/>
        <v>0</v>
      </c>
      <c r="R33" s="52">
        <f t="shared" si="36"/>
        <v>155057581.38</v>
      </c>
      <c r="S33" s="52">
        <f t="shared" si="36"/>
        <v>157987680.09999999</v>
      </c>
      <c r="T33" s="52">
        <f t="shared" si="36"/>
        <v>0</v>
      </c>
      <c r="U33" s="52">
        <f t="shared" si="36"/>
        <v>157987680.09999999</v>
      </c>
    </row>
    <row r="34" spans="1:21" s="17" customFormat="1" ht="13.5">
      <c r="A34" s="18" t="s">
        <v>17</v>
      </c>
      <c r="B34" s="19" t="s">
        <v>9</v>
      </c>
      <c r="C34" s="19" t="s">
        <v>10</v>
      </c>
      <c r="D34" s="19" t="s">
        <v>31</v>
      </c>
      <c r="E34" s="19" t="s">
        <v>18</v>
      </c>
      <c r="F34" s="19" t="s">
        <v>0</v>
      </c>
      <c r="G34" s="33">
        <f>G35+G36+G38+G39+G37</f>
        <v>151351630.13999999</v>
      </c>
      <c r="H34" s="33">
        <f t="shared" ref="H34:I34" si="37">H35+H36+H38+H39+H37</f>
        <v>800857.9</v>
      </c>
      <c r="I34" s="33">
        <f t="shared" si="37"/>
        <v>152152488.03999999</v>
      </c>
      <c r="J34" s="33">
        <f t="shared" ref="J34:K34" si="38">J35+J36+J38+J39+J37</f>
        <v>0</v>
      </c>
      <c r="K34" s="33">
        <f t="shared" si="38"/>
        <v>152152488.03999999</v>
      </c>
      <c r="L34" s="33">
        <f t="shared" ref="L34:M34" si="39">L35+L36+L38+L39+L37</f>
        <v>0</v>
      </c>
      <c r="M34" s="33">
        <f t="shared" si="39"/>
        <v>152152488.03999999</v>
      </c>
      <c r="N34" s="33">
        <f>N35+N36+N38+N39+N37</f>
        <v>155057581.38</v>
      </c>
      <c r="O34" s="33">
        <f t="shared" ref="O34:U34" si="40">O35+O36+O38+O39+O37</f>
        <v>0</v>
      </c>
      <c r="P34" s="33">
        <f t="shared" si="40"/>
        <v>155057581.38</v>
      </c>
      <c r="Q34" s="33">
        <f t="shared" ref="Q34:R34" si="41">Q35+Q36+Q38+Q39+Q37</f>
        <v>0</v>
      </c>
      <c r="R34" s="33">
        <f t="shared" si="41"/>
        <v>155057581.38</v>
      </c>
      <c r="S34" s="33">
        <f t="shared" si="40"/>
        <v>157987680.09999999</v>
      </c>
      <c r="T34" s="33">
        <f t="shared" si="40"/>
        <v>0</v>
      </c>
      <c r="U34" s="33">
        <f t="shared" si="40"/>
        <v>157987680.09999999</v>
      </c>
    </row>
    <row r="35" spans="1:21" s="17" customFormat="1">
      <c r="A35" s="21" t="s">
        <v>19</v>
      </c>
      <c r="B35" s="22" t="s">
        <v>9</v>
      </c>
      <c r="C35" s="22" t="s">
        <v>10</v>
      </c>
      <c r="D35" s="22" t="s">
        <v>31</v>
      </c>
      <c r="E35" s="22" t="s">
        <v>18</v>
      </c>
      <c r="F35" s="22" t="s">
        <v>20</v>
      </c>
      <c r="G35" s="46">
        <v>127653386.53</v>
      </c>
      <c r="H35" s="87">
        <v>-22969</v>
      </c>
      <c r="I35" s="46">
        <f>G35+H35</f>
        <v>127630417.53</v>
      </c>
      <c r="J35" s="87">
        <f>-4630.68-41249</f>
        <v>-45879.68</v>
      </c>
      <c r="K35" s="46">
        <f>I35+J35</f>
        <v>127584537.84999999</v>
      </c>
      <c r="L35" s="87">
        <v>0</v>
      </c>
      <c r="M35" s="46">
        <f>K35+L35</f>
        <v>127584537.84999999</v>
      </c>
      <c r="N35" s="46">
        <v>132672551</v>
      </c>
      <c r="O35" s="46">
        <v>0</v>
      </c>
      <c r="P35" s="46">
        <f>N35+O35</f>
        <v>132672551</v>
      </c>
      <c r="Q35" s="46">
        <v>0</v>
      </c>
      <c r="R35" s="46">
        <f>P35+Q35</f>
        <v>132672551</v>
      </c>
      <c r="S35" s="46">
        <v>135467708.97999999</v>
      </c>
      <c r="T35" s="46">
        <v>0</v>
      </c>
      <c r="U35" s="46">
        <f>S35+T35</f>
        <v>135467708.97999999</v>
      </c>
    </row>
    <row r="36" spans="1:21" s="17" customFormat="1">
      <c r="A36" s="21" t="s">
        <v>21</v>
      </c>
      <c r="B36" s="22" t="s">
        <v>9</v>
      </c>
      <c r="C36" s="22" t="s">
        <v>10</v>
      </c>
      <c r="D36" s="22" t="s">
        <v>31</v>
      </c>
      <c r="E36" s="22" t="s">
        <v>18</v>
      </c>
      <c r="F36" s="22" t="s">
        <v>22</v>
      </c>
      <c r="G36" s="88">
        <v>22808913.609999999</v>
      </c>
      <c r="H36" s="85">
        <f>19262.42+79962.59+572180.49+112252.4+17200</f>
        <v>800857.9</v>
      </c>
      <c r="I36" s="95">
        <f>G36+H36</f>
        <v>23609771.509999998</v>
      </c>
      <c r="J36" s="85">
        <v>0</v>
      </c>
      <c r="K36" s="84">
        <f>I36+J36</f>
        <v>23609771.509999998</v>
      </c>
      <c r="L36" s="85">
        <v>0</v>
      </c>
      <c r="M36" s="84">
        <f>K36+L36</f>
        <v>23609771.509999998</v>
      </c>
      <c r="N36" s="46">
        <v>21343816.379999999</v>
      </c>
      <c r="O36" s="46">
        <v>0</v>
      </c>
      <c r="P36" s="46">
        <f t="shared" ref="P36:P39" si="42">N36+O36</f>
        <v>21343816.379999999</v>
      </c>
      <c r="Q36" s="46">
        <v>0</v>
      </c>
      <c r="R36" s="46">
        <f t="shared" ref="R36:R39" si="43">P36+Q36</f>
        <v>21343816.379999999</v>
      </c>
      <c r="S36" s="46">
        <v>21494501.120000001</v>
      </c>
      <c r="T36" s="46">
        <v>0</v>
      </c>
      <c r="U36" s="46">
        <f t="shared" ref="U36:U39" si="44">S36+T36</f>
        <v>21494501.120000001</v>
      </c>
    </row>
    <row r="37" spans="1:21" s="17" customFormat="1">
      <c r="A37" s="90" t="s">
        <v>72</v>
      </c>
      <c r="B37" s="22" t="s">
        <v>9</v>
      </c>
      <c r="C37" s="22" t="s">
        <v>10</v>
      </c>
      <c r="D37" s="22" t="s">
        <v>31</v>
      </c>
      <c r="E37" s="22" t="s">
        <v>18</v>
      </c>
      <c r="F37" s="83">
        <v>300</v>
      </c>
      <c r="G37" s="89">
        <v>0</v>
      </c>
      <c r="H37" s="85">
        <v>22969</v>
      </c>
      <c r="I37" s="82">
        <f>G37+H37</f>
        <v>22969</v>
      </c>
      <c r="J37" s="85">
        <f>4630.68+41249</f>
        <v>45879.68</v>
      </c>
      <c r="K37" s="84">
        <f>I37+J37</f>
        <v>68848.679999999993</v>
      </c>
      <c r="L37" s="85">
        <v>0</v>
      </c>
      <c r="M37" s="84">
        <f>K37+L37</f>
        <v>68848.679999999993</v>
      </c>
      <c r="N37" s="46">
        <v>0</v>
      </c>
      <c r="O37" s="46">
        <v>0</v>
      </c>
      <c r="P37" s="46">
        <f t="shared" ref="P37" si="45">N37+O37</f>
        <v>0</v>
      </c>
      <c r="Q37" s="46">
        <v>0</v>
      </c>
      <c r="R37" s="46">
        <f t="shared" si="43"/>
        <v>0</v>
      </c>
      <c r="S37" s="46">
        <v>0</v>
      </c>
      <c r="T37" s="46">
        <v>0</v>
      </c>
      <c r="U37" s="46">
        <f t="shared" si="44"/>
        <v>0</v>
      </c>
    </row>
    <row r="38" spans="1:21" s="17" customFormat="1" hidden="1" outlineLevel="1">
      <c r="A38" s="21" t="s">
        <v>38</v>
      </c>
      <c r="B38" s="22" t="s">
        <v>9</v>
      </c>
      <c r="C38" s="22" t="s">
        <v>10</v>
      </c>
      <c r="D38" s="22" t="s">
        <v>31</v>
      </c>
      <c r="E38" s="22" t="s">
        <v>18</v>
      </c>
      <c r="F38" s="22" t="s">
        <v>39</v>
      </c>
      <c r="G38" s="86">
        <v>0</v>
      </c>
      <c r="H38" s="82">
        <v>0</v>
      </c>
      <c r="I38" s="96">
        <f>G38+H38</f>
        <v>0</v>
      </c>
      <c r="J38" s="82">
        <v>0</v>
      </c>
      <c r="K38" s="84">
        <f>I38+J38</f>
        <v>0</v>
      </c>
      <c r="L38" s="82">
        <v>0</v>
      </c>
      <c r="M38" s="84">
        <f>K38+L38</f>
        <v>0</v>
      </c>
      <c r="N38" s="46">
        <v>0</v>
      </c>
      <c r="O38" s="46">
        <v>0</v>
      </c>
      <c r="P38" s="46">
        <f t="shared" si="42"/>
        <v>0</v>
      </c>
      <c r="Q38" s="46">
        <v>0</v>
      </c>
      <c r="R38" s="46">
        <f t="shared" si="43"/>
        <v>0</v>
      </c>
      <c r="S38" s="46">
        <v>0</v>
      </c>
      <c r="T38" s="46">
        <v>0</v>
      </c>
      <c r="U38" s="46">
        <f t="shared" si="44"/>
        <v>0</v>
      </c>
    </row>
    <row r="39" spans="1:21" s="17" customFormat="1" collapsed="1">
      <c r="A39" s="21" t="s">
        <v>40</v>
      </c>
      <c r="B39" s="22" t="s">
        <v>9</v>
      </c>
      <c r="C39" s="22" t="s">
        <v>10</v>
      </c>
      <c r="D39" s="22" t="s">
        <v>31</v>
      </c>
      <c r="E39" s="22" t="s">
        <v>18</v>
      </c>
      <c r="F39" s="22" t="s">
        <v>41</v>
      </c>
      <c r="G39" s="46">
        <v>889330</v>
      </c>
      <c r="H39" s="79">
        <v>0</v>
      </c>
      <c r="I39" s="46">
        <f>G39+H39</f>
        <v>889330</v>
      </c>
      <c r="J39" s="79">
        <v>0</v>
      </c>
      <c r="K39" s="46">
        <f>I39+J39</f>
        <v>889330</v>
      </c>
      <c r="L39" s="79">
        <v>0</v>
      </c>
      <c r="M39" s="46">
        <f>K39+L39</f>
        <v>889330</v>
      </c>
      <c r="N39" s="46">
        <v>1041214</v>
      </c>
      <c r="O39" s="46">
        <v>0</v>
      </c>
      <c r="P39" s="46">
        <f t="shared" si="42"/>
        <v>1041214</v>
      </c>
      <c r="Q39" s="46">
        <v>0</v>
      </c>
      <c r="R39" s="46">
        <f t="shared" si="43"/>
        <v>1041214</v>
      </c>
      <c r="S39" s="46">
        <v>1025470</v>
      </c>
      <c r="T39" s="46">
        <v>0</v>
      </c>
      <c r="U39" s="46">
        <f t="shared" si="44"/>
        <v>1025470</v>
      </c>
    </row>
    <row r="40" spans="1:21" s="17" customFormat="1">
      <c r="A40" s="14" t="s">
        <v>256</v>
      </c>
      <c r="B40" s="15" t="s">
        <v>9</v>
      </c>
      <c r="C40" s="15" t="s">
        <v>10</v>
      </c>
      <c r="D40" s="15" t="s">
        <v>214</v>
      </c>
      <c r="E40" s="22"/>
      <c r="F40" s="22"/>
      <c r="G40" s="52">
        <f t="shared" ref="G40:U41" si="46">G41</f>
        <v>3000000</v>
      </c>
      <c r="H40" s="52">
        <f t="shared" si="46"/>
        <v>0</v>
      </c>
      <c r="I40" s="52">
        <f t="shared" si="46"/>
        <v>3000000</v>
      </c>
      <c r="J40" s="52">
        <f t="shared" si="46"/>
        <v>1500000</v>
      </c>
      <c r="K40" s="52">
        <f t="shared" si="46"/>
        <v>4500000</v>
      </c>
      <c r="L40" s="52">
        <f t="shared" si="46"/>
        <v>2500000</v>
      </c>
      <c r="M40" s="52">
        <f t="shared" si="46"/>
        <v>7000000</v>
      </c>
      <c r="N40" s="52">
        <f t="shared" si="46"/>
        <v>0</v>
      </c>
      <c r="O40" s="52">
        <f t="shared" si="46"/>
        <v>0</v>
      </c>
      <c r="P40" s="52">
        <f t="shared" si="46"/>
        <v>0</v>
      </c>
      <c r="Q40" s="52">
        <f t="shared" si="46"/>
        <v>0</v>
      </c>
      <c r="R40" s="52">
        <f t="shared" si="46"/>
        <v>0</v>
      </c>
      <c r="S40" s="52">
        <f t="shared" si="46"/>
        <v>0</v>
      </c>
      <c r="T40" s="52">
        <f t="shared" si="46"/>
        <v>0</v>
      </c>
      <c r="U40" s="52">
        <f t="shared" si="46"/>
        <v>0</v>
      </c>
    </row>
    <row r="41" spans="1:21" s="17" customFormat="1">
      <c r="A41" s="14" t="s">
        <v>13</v>
      </c>
      <c r="B41" s="15" t="s">
        <v>9</v>
      </c>
      <c r="C41" s="15" t="s">
        <v>10</v>
      </c>
      <c r="D41" s="15" t="s">
        <v>214</v>
      </c>
      <c r="E41" s="15" t="s">
        <v>14</v>
      </c>
      <c r="F41" s="22"/>
      <c r="G41" s="52">
        <f t="shared" si="46"/>
        <v>3000000</v>
      </c>
      <c r="H41" s="52">
        <f t="shared" si="46"/>
        <v>0</v>
      </c>
      <c r="I41" s="52">
        <f t="shared" si="46"/>
        <v>3000000</v>
      </c>
      <c r="J41" s="52">
        <f t="shared" si="46"/>
        <v>1500000</v>
      </c>
      <c r="K41" s="52">
        <f t="shared" si="46"/>
        <v>4500000</v>
      </c>
      <c r="L41" s="52">
        <f t="shared" si="46"/>
        <v>2500000</v>
      </c>
      <c r="M41" s="52">
        <f t="shared" si="46"/>
        <v>7000000</v>
      </c>
      <c r="N41" s="52">
        <f t="shared" si="46"/>
        <v>0</v>
      </c>
      <c r="O41" s="52">
        <f t="shared" si="46"/>
        <v>0</v>
      </c>
      <c r="P41" s="52">
        <f t="shared" si="46"/>
        <v>0</v>
      </c>
      <c r="Q41" s="52">
        <f t="shared" si="46"/>
        <v>0</v>
      </c>
      <c r="R41" s="52">
        <f t="shared" si="46"/>
        <v>0</v>
      </c>
      <c r="S41" s="52">
        <f t="shared" si="46"/>
        <v>0</v>
      </c>
      <c r="T41" s="52">
        <f t="shared" si="46"/>
        <v>0</v>
      </c>
      <c r="U41" s="52">
        <f t="shared" si="46"/>
        <v>0</v>
      </c>
    </row>
    <row r="42" spans="1:21" s="17" customFormat="1">
      <c r="A42" s="14" t="s">
        <v>257</v>
      </c>
      <c r="B42" s="15" t="s">
        <v>9</v>
      </c>
      <c r="C42" s="15" t="s">
        <v>10</v>
      </c>
      <c r="D42" s="15" t="s">
        <v>214</v>
      </c>
      <c r="E42" s="15" t="s">
        <v>258</v>
      </c>
      <c r="F42" s="22"/>
      <c r="G42" s="52">
        <f t="shared" ref="G42:U42" si="47">G43+G45</f>
        <v>3000000</v>
      </c>
      <c r="H42" s="52">
        <f t="shared" si="47"/>
        <v>0</v>
      </c>
      <c r="I42" s="52">
        <f t="shared" si="47"/>
        <v>3000000</v>
      </c>
      <c r="J42" s="52">
        <f t="shared" ref="J42:K42" si="48">J43+J45</f>
        <v>1500000</v>
      </c>
      <c r="K42" s="52">
        <f t="shared" si="48"/>
        <v>4500000</v>
      </c>
      <c r="L42" s="52">
        <f t="shared" ref="L42:M42" si="49">L43+L45</f>
        <v>2500000</v>
      </c>
      <c r="M42" s="52">
        <f t="shared" si="49"/>
        <v>7000000</v>
      </c>
      <c r="N42" s="52">
        <f t="shared" si="47"/>
        <v>0</v>
      </c>
      <c r="O42" s="52">
        <f t="shared" si="47"/>
        <v>0</v>
      </c>
      <c r="P42" s="52">
        <f t="shared" si="47"/>
        <v>0</v>
      </c>
      <c r="Q42" s="52">
        <f t="shared" ref="Q42:R42" si="50">Q43+Q45</f>
        <v>0</v>
      </c>
      <c r="R42" s="52">
        <f t="shared" si="50"/>
        <v>0</v>
      </c>
      <c r="S42" s="52">
        <f t="shared" si="47"/>
        <v>0</v>
      </c>
      <c r="T42" s="52">
        <f t="shared" si="47"/>
        <v>0</v>
      </c>
      <c r="U42" s="52">
        <f t="shared" si="47"/>
        <v>0</v>
      </c>
    </row>
    <row r="43" spans="1:21" s="17" customFormat="1" ht="13.5">
      <c r="A43" s="56" t="s">
        <v>259</v>
      </c>
      <c r="B43" s="57" t="s">
        <v>9</v>
      </c>
      <c r="C43" s="58" t="s">
        <v>10</v>
      </c>
      <c r="D43" s="58" t="s">
        <v>214</v>
      </c>
      <c r="E43" s="58" t="s">
        <v>281</v>
      </c>
      <c r="F43" s="58"/>
      <c r="G43" s="52">
        <f t="shared" ref="G43:U43" si="51">G44</f>
        <v>1500000</v>
      </c>
      <c r="H43" s="52">
        <f t="shared" si="51"/>
        <v>0</v>
      </c>
      <c r="I43" s="52">
        <f t="shared" si="51"/>
        <v>1500000</v>
      </c>
      <c r="J43" s="52">
        <f t="shared" si="51"/>
        <v>750000</v>
      </c>
      <c r="K43" s="52">
        <f t="shared" si="51"/>
        <v>2250000</v>
      </c>
      <c r="L43" s="52">
        <f>L44</f>
        <v>2500000</v>
      </c>
      <c r="M43" s="52">
        <f t="shared" si="51"/>
        <v>4750000</v>
      </c>
      <c r="N43" s="52">
        <f t="shared" si="51"/>
        <v>0</v>
      </c>
      <c r="O43" s="52">
        <f t="shared" si="51"/>
        <v>0</v>
      </c>
      <c r="P43" s="52">
        <f t="shared" si="51"/>
        <v>0</v>
      </c>
      <c r="Q43" s="52">
        <f t="shared" si="51"/>
        <v>0</v>
      </c>
      <c r="R43" s="52">
        <f t="shared" si="51"/>
        <v>0</v>
      </c>
      <c r="S43" s="52">
        <f t="shared" si="51"/>
        <v>0</v>
      </c>
      <c r="T43" s="52">
        <f t="shared" si="51"/>
        <v>0</v>
      </c>
      <c r="U43" s="52">
        <f t="shared" si="51"/>
        <v>0</v>
      </c>
    </row>
    <row r="44" spans="1:21" s="17" customFormat="1" ht="15">
      <c r="A44" s="61" t="s">
        <v>40</v>
      </c>
      <c r="B44" s="59" t="s">
        <v>9</v>
      </c>
      <c r="C44" s="60" t="s">
        <v>10</v>
      </c>
      <c r="D44" s="60" t="s">
        <v>214</v>
      </c>
      <c r="E44" s="60" t="s">
        <v>281</v>
      </c>
      <c r="F44" s="60" t="s">
        <v>41</v>
      </c>
      <c r="G44" s="46">
        <v>1500000</v>
      </c>
      <c r="H44" s="46">
        <v>0</v>
      </c>
      <c r="I44" s="46">
        <f>G44+H44</f>
        <v>1500000</v>
      </c>
      <c r="J44" s="46">
        <v>750000</v>
      </c>
      <c r="K44" s="46">
        <f>I44+J44</f>
        <v>2250000</v>
      </c>
      <c r="L44" s="46">
        <v>2500000</v>
      </c>
      <c r="M44" s="46">
        <f>K44+L44</f>
        <v>4750000</v>
      </c>
      <c r="N44" s="46">
        <v>0</v>
      </c>
      <c r="O44" s="46">
        <v>0</v>
      </c>
      <c r="P44" s="46">
        <f>N44+O44</f>
        <v>0</v>
      </c>
      <c r="Q44" s="46">
        <v>0</v>
      </c>
      <c r="R44" s="46">
        <f>P44+Q44</f>
        <v>0</v>
      </c>
      <c r="S44" s="46">
        <v>0</v>
      </c>
      <c r="T44" s="46">
        <v>0</v>
      </c>
      <c r="U44" s="46">
        <f>S44+T44</f>
        <v>0</v>
      </c>
    </row>
    <row r="45" spans="1:21" s="17" customFormat="1" ht="13.5">
      <c r="A45" s="56" t="s">
        <v>260</v>
      </c>
      <c r="B45" s="57" t="s">
        <v>9</v>
      </c>
      <c r="C45" s="58" t="s">
        <v>10</v>
      </c>
      <c r="D45" s="58" t="s">
        <v>214</v>
      </c>
      <c r="E45" s="58" t="s">
        <v>282</v>
      </c>
      <c r="F45" s="22"/>
      <c r="G45" s="52">
        <f t="shared" ref="G45:U45" si="52">G46</f>
        <v>1500000</v>
      </c>
      <c r="H45" s="52">
        <f t="shared" si="52"/>
        <v>0</v>
      </c>
      <c r="I45" s="52">
        <f t="shared" si="52"/>
        <v>1500000</v>
      </c>
      <c r="J45" s="52">
        <f t="shared" si="52"/>
        <v>750000</v>
      </c>
      <c r="K45" s="52">
        <f t="shared" si="52"/>
        <v>2250000</v>
      </c>
      <c r="L45" s="52">
        <f t="shared" si="52"/>
        <v>0</v>
      </c>
      <c r="M45" s="52">
        <f t="shared" si="52"/>
        <v>2250000</v>
      </c>
      <c r="N45" s="52">
        <f t="shared" si="52"/>
        <v>0</v>
      </c>
      <c r="O45" s="52">
        <f t="shared" si="52"/>
        <v>0</v>
      </c>
      <c r="P45" s="52">
        <f t="shared" si="52"/>
        <v>0</v>
      </c>
      <c r="Q45" s="52">
        <f t="shared" si="52"/>
        <v>0</v>
      </c>
      <c r="R45" s="52">
        <f t="shared" si="52"/>
        <v>0</v>
      </c>
      <c r="S45" s="52">
        <f t="shared" si="52"/>
        <v>0</v>
      </c>
      <c r="T45" s="52">
        <f t="shared" si="52"/>
        <v>0</v>
      </c>
      <c r="U45" s="52">
        <f t="shared" si="52"/>
        <v>0</v>
      </c>
    </row>
    <row r="46" spans="1:21" s="17" customFormat="1">
      <c r="A46" s="62" t="s">
        <v>40</v>
      </c>
      <c r="B46" s="34" t="s">
        <v>9</v>
      </c>
      <c r="C46" s="34" t="s">
        <v>10</v>
      </c>
      <c r="D46" s="34" t="s">
        <v>214</v>
      </c>
      <c r="E46" s="49" t="s">
        <v>282</v>
      </c>
      <c r="F46" s="34" t="s">
        <v>41</v>
      </c>
      <c r="G46" s="46">
        <v>1500000</v>
      </c>
      <c r="H46" s="46">
        <v>0</v>
      </c>
      <c r="I46" s="46">
        <f>G46+H46</f>
        <v>1500000</v>
      </c>
      <c r="J46" s="46">
        <v>750000</v>
      </c>
      <c r="K46" s="46">
        <f>I46+J46</f>
        <v>2250000</v>
      </c>
      <c r="L46" s="46">
        <v>0</v>
      </c>
      <c r="M46" s="46">
        <f>K46+L46</f>
        <v>2250000</v>
      </c>
      <c r="N46" s="46">
        <v>0</v>
      </c>
      <c r="O46" s="46">
        <v>0</v>
      </c>
      <c r="P46" s="46">
        <f>N46+O46</f>
        <v>0</v>
      </c>
      <c r="Q46" s="46">
        <v>0</v>
      </c>
      <c r="R46" s="46">
        <f>P46+Q46</f>
        <v>0</v>
      </c>
      <c r="S46" s="46">
        <v>0</v>
      </c>
      <c r="T46" s="46">
        <v>0</v>
      </c>
      <c r="U46" s="46">
        <f>S46+T46</f>
        <v>0</v>
      </c>
    </row>
    <row r="47" spans="1:21" s="17" customFormat="1">
      <c r="A47" s="14" t="s">
        <v>42</v>
      </c>
      <c r="B47" s="15" t="s">
        <v>9</v>
      </c>
      <c r="C47" s="15" t="s">
        <v>10</v>
      </c>
      <c r="D47" s="15" t="s">
        <v>43</v>
      </c>
      <c r="E47" s="40" t="s">
        <v>0</v>
      </c>
      <c r="F47" s="15" t="s">
        <v>0</v>
      </c>
      <c r="G47" s="52">
        <f t="shared" ref="G47:U48" si="53">G48</f>
        <v>4190310.73</v>
      </c>
      <c r="H47" s="52">
        <f t="shared" si="53"/>
        <v>13654293.98</v>
      </c>
      <c r="I47" s="52">
        <f t="shared" si="53"/>
        <v>17844604.710000001</v>
      </c>
      <c r="J47" s="52">
        <f t="shared" si="53"/>
        <v>0</v>
      </c>
      <c r="K47" s="52">
        <f t="shared" si="53"/>
        <v>17844604.710000001</v>
      </c>
      <c r="L47" s="52">
        <f t="shared" si="53"/>
        <v>5417480.75</v>
      </c>
      <c r="M47" s="52">
        <f t="shared" si="53"/>
        <v>23262085.460000001</v>
      </c>
      <c r="N47" s="52">
        <f t="shared" si="53"/>
        <v>2320342.58</v>
      </c>
      <c r="O47" s="52">
        <f t="shared" si="53"/>
        <v>-123910.43</v>
      </c>
      <c r="P47" s="52">
        <f t="shared" si="53"/>
        <v>2196432.15</v>
      </c>
      <c r="Q47" s="52">
        <f t="shared" si="53"/>
        <v>0</v>
      </c>
      <c r="R47" s="52">
        <f t="shared" si="53"/>
        <v>2196432.15</v>
      </c>
      <c r="S47" s="52">
        <f t="shared" si="53"/>
        <v>5930975.2199999997</v>
      </c>
      <c r="T47" s="52">
        <f t="shared" si="53"/>
        <v>0</v>
      </c>
      <c r="U47" s="52">
        <f t="shared" si="53"/>
        <v>5930975.2199999997</v>
      </c>
    </row>
    <row r="48" spans="1:21" s="17" customFormat="1">
      <c r="A48" s="14" t="s">
        <v>13</v>
      </c>
      <c r="B48" s="15" t="s">
        <v>9</v>
      </c>
      <c r="C48" s="15" t="s">
        <v>10</v>
      </c>
      <c r="D48" s="15" t="s">
        <v>43</v>
      </c>
      <c r="E48" s="15" t="s">
        <v>14</v>
      </c>
      <c r="F48" s="15" t="s">
        <v>0</v>
      </c>
      <c r="G48" s="52">
        <f t="shared" si="53"/>
        <v>4190310.73</v>
      </c>
      <c r="H48" s="52">
        <f t="shared" si="53"/>
        <v>13654293.98</v>
      </c>
      <c r="I48" s="52">
        <f t="shared" si="53"/>
        <v>17844604.710000001</v>
      </c>
      <c r="J48" s="52">
        <f t="shared" si="53"/>
        <v>0</v>
      </c>
      <c r="K48" s="52">
        <f t="shared" si="53"/>
        <v>17844604.710000001</v>
      </c>
      <c r="L48" s="52">
        <f t="shared" si="53"/>
        <v>5417480.75</v>
      </c>
      <c r="M48" s="52">
        <f t="shared" si="53"/>
        <v>23262085.460000001</v>
      </c>
      <c r="N48" s="52">
        <f t="shared" si="53"/>
        <v>2320342.58</v>
      </c>
      <c r="O48" s="52">
        <f t="shared" si="53"/>
        <v>-123910.43</v>
      </c>
      <c r="P48" s="52">
        <f t="shared" si="53"/>
        <v>2196432.15</v>
      </c>
      <c r="Q48" s="52">
        <f t="shared" si="53"/>
        <v>0</v>
      </c>
      <c r="R48" s="52">
        <f t="shared" si="53"/>
        <v>2196432.15</v>
      </c>
      <c r="S48" s="52">
        <f t="shared" si="53"/>
        <v>5930975.2199999997</v>
      </c>
      <c r="T48" s="52">
        <f t="shared" si="53"/>
        <v>0</v>
      </c>
      <c r="U48" s="52">
        <f t="shared" si="53"/>
        <v>5930975.2199999997</v>
      </c>
    </row>
    <row r="49" spans="1:21" s="17" customFormat="1">
      <c r="A49" s="14" t="s">
        <v>44</v>
      </c>
      <c r="B49" s="15" t="s">
        <v>9</v>
      </c>
      <c r="C49" s="15" t="s">
        <v>10</v>
      </c>
      <c r="D49" s="15" t="s">
        <v>43</v>
      </c>
      <c r="E49" s="15" t="s">
        <v>45</v>
      </c>
      <c r="F49" s="15" t="s">
        <v>0</v>
      </c>
      <c r="G49" s="52">
        <f t="shared" ref="G49:U49" si="54">G50+G52</f>
        <v>4190310.73</v>
      </c>
      <c r="H49" s="52">
        <f t="shared" si="54"/>
        <v>13654293.98</v>
      </c>
      <c r="I49" s="52">
        <f t="shared" si="54"/>
        <v>17844604.710000001</v>
      </c>
      <c r="J49" s="52">
        <f t="shared" ref="J49:K49" si="55">J50+J52</f>
        <v>0</v>
      </c>
      <c r="K49" s="52">
        <f t="shared" si="55"/>
        <v>17844604.710000001</v>
      </c>
      <c r="L49" s="52">
        <f t="shared" ref="L49:M49" si="56">L50+L52</f>
        <v>5417480.75</v>
      </c>
      <c r="M49" s="52">
        <f t="shared" si="56"/>
        <v>23262085.460000001</v>
      </c>
      <c r="N49" s="52">
        <f t="shared" si="54"/>
        <v>2320342.58</v>
      </c>
      <c r="O49" s="52">
        <f t="shared" si="54"/>
        <v>-123910.43</v>
      </c>
      <c r="P49" s="52">
        <f t="shared" si="54"/>
        <v>2196432.15</v>
      </c>
      <c r="Q49" s="52">
        <f t="shared" ref="Q49:R49" si="57">Q50+Q52</f>
        <v>0</v>
      </c>
      <c r="R49" s="52">
        <f t="shared" si="57"/>
        <v>2196432.15</v>
      </c>
      <c r="S49" s="52">
        <f t="shared" si="54"/>
        <v>5930975.2199999997</v>
      </c>
      <c r="T49" s="52">
        <f t="shared" si="54"/>
        <v>0</v>
      </c>
      <c r="U49" s="52">
        <f t="shared" si="54"/>
        <v>5930975.2199999997</v>
      </c>
    </row>
    <row r="50" spans="1:21" s="17" customFormat="1" ht="13.5">
      <c r="A50" s="18" t="s">
        <v>46</v>
      </c>
      <c r="B50" s="19" t="s">
        <v>9</v>
      </c>
      <c r="C50" s="19" t="s">
        <v>10</v>
      </c>
      <c r="D50" s="19" t="s">
        <v>43</v>
      </c>
      <c r="E50" s="19" t="s">
        <v>47</v>
      </c>
      <c r="F50" s="19" t="s">
        <v>0</v>
      </c>
      <c r="G50" s="33">
        <f t="shared" ref="G50:U50" si="58">G51</f>
        <v>2690310.73</v>
      </c>
      <c r="H50" s="33">
        <f t="shared" si="58"/>
        <v>13654293.98</v>
      </c>
      <c r="I50" s="33">
        <f t="shared" si="58"/>
        <v>16344604.710000001</v>
      </c>
      <c r="J50" s="33">
        <f t="shared" si="58"/>
        <v>0</v>
      </c>
      <c r="K50" s="33">
        <f t="shared" si="58"/>
        <v>16344604.710000001</v>
      </c>
      <c r="L50" s="33">
        <f t="shared" si="58"/>
        <v>5417480.75</v>
      </c>
      <c r="M50" s="33">
        <f t="shared" si="58"/>
        <v>21762085.460000001</v>
      </c>
      <c r="N50" s="33">
        <f t="shared" si="58"/>
        <v>820342.58</v>
      </c>
      <c r="O50" s="33">
        <f t="shared" si="58"/>
        <v>-123910.43</v>
      </c>
      <c r="P50" s="33">
        <f t="shared" si="58"/>
        <v>696432.14999999991</v>
      </c>
      <c r="Q50" s="33">
        <f t="shared" si="58"/>
        <v>0</v>
      </c>
      <c r="R50" s="33">
        <f t="shared" si="58"/>
        <v>696432.14999999991</v>
      </c>
      <c r="S50" s="33">
        <f t="shared" si="58"/>
        <v>4430975.22</v>
      </c>
      <c r="T50" s="33">
        <f t="shared" si="58"/>
        <v>0</v>
      </c>
      <c r="U50" s="33">
        <f t="shared" si="58"/>
        <v>4430975.22</v>
      </c>
    </row>
    <row r="51" spans="1:21" s="17" customFormat="1">
      <c r="A51" s="21" t="s">
        <v>40</v>
      </c>
      <c r="B51" s="22" t="s">
        <v>9</v>
      </c>
      <c r="C51" s="22" t="s">
        <v>10</v>
      </c>
      <c r="D51" s="22" t="s">
        <v>43</v>
      </c>
      <c r="E51" s="22" t="s">
        <v>47</v>
      </c>
      <c r="F51" s="22" t="s">
        <v>41</v>
      </c>
      <c r="G51" s="80">
        <f>2772464.77-35000-47154.04</f>
        <v>2690310.73</v>
      </c>
      <c r="H51" s="80">
        <v>13654293.98</v>
      </c>
      <c r="I51" s="80">
        <f>G51+H51</f>
        <v>16344604.710000001</v>
      </c>
      <c r="J51" s="80">
        <v>0</v>
      </c>
      <c r="K51" s="80">
        <f>I51+J51</f>
        <v>16344604.710000001</v>
      </c>
      <c r="L51" s="80">
        <f>4706481.53+946768.22-235769</f>
        <v>5417480.75</v>
      </c>
      <c r="M51" s="80">
        <f>K51+L51</f>
        <v>21762085.460000001</v>
      </c>
      <c r="N51" s="80">
        <f>855342.58-35000</f>
        <v>820342.58</v>
      </c>
      <c r="O51" s="80">
        <v>-123910.43</v>
      </c>
      <c r="P51" s="80">
        <f>N51+O51</f>
        <v>696432.14999999991</v>
      </c>
      <c r="Q51" s="80">
        <v>0</v>
      </c>
      <c r="R51" s="80">
        <f>P51+Q51</f>
        <v>696432.14999999991</v>
      </c>
      <c r="S51" s="80">
        <f>4465975.22-35000</f>
        <v>4430975.22</v>
      </c>
      <c r="T51" s="80">
        <v>0</v>
      </c>
      <c r="U51" s="80">
        <f>S51+T51</f>
        <v>4430975.22</v>
      </c>
    </row>
    <row r="52" spans="1:21" s="17" customFormat="1" ht="27">
      <c r="A52" s="18" t="s">
        <v>48</v>
      </c>
      <c r="B52" s="19" t="s">
        <v>9</v>
      </c>
      <c r="C52" s="19" t="s">
        <v>10</v>
      </c>
      <c r="D52" s="19" t="s">
        <v>43</v>
      </c>
      <c r="E52" s="19" t="s">
        <v>49</v>
      </c>
      <c r="F52" s="19" t="s">
        <v>0</v>
      </c>
      <c r="G52" s="33">
        <f t="shared" ref="G52:U52" si="59">G53</f>
        <v>1500000</v>
      </c>
      <c r="H52" s="33">
        <f t="shared" si="59"/>
        <v>0</v>
      </c>
      <c r="I52" s="33">
        <f t="shared" si="59"/>
        <v>1500000</v>
      </c>
      <c r="J52" s="33">
        <f t="shared" si="59"/>
        <v>0</v>
      </c>
      <c r="K52" s="33">
        <f t="shared" si="59"/>
        <v>1500000</v>
      </c>
      <c r="L52" s="33">
        <f t="shared" si="59"/>
        <v>0</v>
      </c>
      <c r="M52" s="33">
        <f t="shared" si="59"/>
        <v>1500000</v>
      </c>
      <c r="N52" s="33">
        <f t="shared" si="59"/>
        <v>1500000</v>
      </c>
      <c r="O52" s="33">
        <f t="shared" si="59"/>
        <v>0</v>
      </c>
      <c r="P52" s="33">
        <f t="shared" si="59"/>
        <v>1500000</v>
      </c>
      <c r="Q52" s="33">
        <f t="shared" si="59"/>
        <v>0</v>
      </c>
      <c r="R52" s="33">
        <f t="shared" si="59"/>
        <v>1500000</v>
      </c>
      <c r="S52" s="33">
        <f t="shared" si="59"/>
        <v>1500000</v>
      </c>
      <c r="T52" s="33">
        <f t="shared" si="59"/>
        <v>0</v>
      </c>
      <c r="U52" s="33">
        <f t="shared" si="59"/>
        <v>1500000</v>
      </c>
    </row>
    <row r="53" spans="1:21" s="17" customFormat="1">
      <c r="A53" s="21" t="s">
        <v>40</v>
      </c>
      <c r="B53" s="22" t="s">
        <v>9</v>
      </c>
      <c r="C53" s="22" t="s">
        <v>10</v>
      </c>
      <c r="D53" s="22" t="s">
        <v>43</v>
      </c>
      <c r="E53" s="22" t="s">
        <v>49</v>
      </c>
      <c r="F53" s="22" t="s">
        <v>41</v>
      </c>
      <c r="G53" s="46">
        <v>1500000</v>
      </c>
      <c r="H53" s="46">
        <v>0</v>
      </c>
      <c r="I53" s="46">
        <f>G53+H53</f>
        <v>1500000</v>
      </c>
      <c r="J53" s="46">
        <v>0</v>
      </c>
      <c r="K53" s="46">
        <f>I53+J53</f>
        <v>1500000</v>
      </c>
      <c r="L53" s="46">
        <v>0</v>
      </c>
      <c r="M53" s="46">
        <f>K53+L53</f>
        <v>1500000</v>
      </c>
      <c r="N53" s="46">
        <v>1500000</v>
      </c>
      <c r="O53" s="46">
        <v>0</v>
      </c>
      <c r="P53" s="46">
        <f>N53+O53</f>
        <v>1500000</v>
      </c>
      <c r="Q53" s="46">
        <v>0</v>
      </c>
      <c r="R53" s="46">
        <f>P53+Q53</f>
        <v>1500000</v>
      </c>
      <c r="S53" s="46">
        <v>1500000</v>
      </c>
      <c r="T53" s="46">
        <v>0</v>
      </c>
      <c r="U53" s="46">
        <f>S53+T53</f>
        <v>1500000</v>
      </c>
    </row>
    <row r="54" spans="1:21" s="17" customFormat="1">
      <c r="A54" s="14" t="s">
        <v>50</v>
      </c>
      <c r="B54" s="15" t="s">
        <v>9</v>
      </c>
      <c r="C54" s="15" t="s">
        <v>10</v>
      </c>
      <c r="D54" s="15" t="s">
        <v>51</v>
      </c>
      <c r="E54" s="15" t="s">
        <v>0</v>
      </c>
      <c r="F54" s="15" t="s">
        <v>0</v>
      </c>
      <c r="G54" s="52">
        <f t="shared" ref="G54:U54" si="60">G55+G69</f>
        <v>18177172.75</v>
      </c>
      <c r="H54" s="52">
        <f t="shared" si="60"/>
        <v>1347663.32</v>
      </c>
      <c r="I54" s="52">
        <f t="shared" si="60"/>
        <v>19524836.07</v>
      </c>
      <c r="J54" s="52">
        <f t="shared" ref="J54:K54" si="61">J55+J69</f>
        <v>-630615.57999999996</v>
      </c>
      <c r="K54" s="52">
        <f t="shared" si="61"/>
        <v>18894220.490000002</v>
      </c>
      <c r="L54" s="52">
        <f t="shared" ref="L54:M54" si="62">L55+L69</f>
        <v>1189369.51</v>
      </c>
      <c r="M54" s="52">
        <f t="shared" si="62"/>
        <v>20083590</v>
      </c>
      <c r="N54" s="52">
        <f t="shared" si="60"/>
        <v>30945430</v>
      </c>
      <c r="O54" s="52">
        <f t="shared" si="60"/>
        <v>2478208.6</v>
      </c>
      <c r="P54" s="52">
        <f t="shared" si="60"/>
        <v>33423638.600000001</v>
      </c>
      <c r="Q54" s="52">
        <f t="shared" ref="Q54:R54" si="63">Q55+Q69</f>
        <v>-1471436.36</v>
      </c>
      <c r="R54" s="52">
        <f t="shared" si="63"/>
        <v>31952202.239999998</v>
      </c>
      <c r="S54" s="52">
        <f t="shared" si="60"/>
        <v>38775297.670000002</v>
      </c>
      <c r="T54" s="52">
        <f t="shared" si="60"/>
        <v>0</v>
      </c>
      <c r="U54" s="52">
        <f t="shared" si="60"/>
        <v>38775297.670000002</v>
      </c>
    </row>
    <row r="55" spans="1:21" s="17" customFormat="1">
      <c r="A55" s="14" t="s">
        <v>52</v>
      </c>
      <c r="B55" s="15" t="s">
        <v>9</v>
      </c>
      <c r="C55" s="15" t="s">
        <v>10</v>
      </c>
      <c r="D55" s="15" t="s">
        <v>51</v>
      </c>
      <c r="E55" s="15" t="s">
        <v>53</v>
      </c>
      <c r="F55" s="15" t="s">
        <v>0</v>
      </c>
      <c r="G55" s="52">
        <f t="shared" ref="G55:U55" si="64">G56+G66</f>
        <v>7022496</v>
      </c>
      <c r="H55" s="52">
        <f t="shared" si="64"/>
        <v>1347663.32</v>
      </c>
      <c r="I55" s="52">
        <f t="shared" si="64"/>
        <v>8370159.3200000003</v>
      </c>
      <c r="J55" s="52">
        <f t="shared" ref="J55:K55" si="65">J56+J66</f>
        <v>-630615.57999999996</v>
      </c>
      <c r="K55" s="52">
        <f t="shared" si="65"/>
        <v>7739543.7400000002</v>
      </c>
      <c r="L55" s="52">
        <f t="shared" ref="L55:M55" si="66">L56+L66</f>
        <v>1189369.51</v>
      </c>
      <c r="M55" s="52">
        <f t="shared" si="66"/>
        <v>8928913.25</v>
      </c>
      <c r="N55" s="52">
        <f t="shared" si="64"/>
        <v>7233171.1799999997</v>
      </c>
      <c r="O55" s="52">
        <f t="shared" si="64"/>
        <v>2478208.6</v>
      </c>
      <c r="P55" s="52">
        <f t="shared" si="64"/>
        <v>9711379.7799999993</v>
      </c>
      <c r="Q55" s="52">
        <f t="shared" ref="Q55:R55" si="67">Q56+Q66</f>
        <v>-1471436.36</v>
      </c>
      <c r="R55" s="52">
        <f t="shared" si="67"/>
        <v>8239943.419999999</v>
      </c>
      <c r="S55" s="52">
        <f t="shared" si="64"/>
        <v>7233171.1799999997</v>
      </c>
      <c r="T55" s="52">
        <f t="shared" si="64"/>
        <v>0</v>
      </c>
      <c r="U55" s="52">
        <f t="shared" si="64"/>
        <v>7233171.1799999997</v>
      </c>
    </row>
    <row r="56" spans="1:21" s="17" customFormat="1">
      <c r="A56" s="14" t="s">
        <v>54</v>
      </c>
      <c r="B56" s="15" t="s">
        <v>9</v>
      </c>
      <c r="C56" s="15" t="s">
        <v>10</v>
      </c>
      <c r="D56" s="15" t="s">
        <v>51</v>
      </c>
      <c r="E56" s="15" t="s">
        <v>55</v>
      </c>
      <c r="F56" s="15" t="s">
        <v>0</v>
      </c>
      <c r="G56" s="52">
        <f t="shared" ref="G56:U56" si="68">G57+G59+G61+G63</f>
        <v>5132586</v>
      </c>
      <c r="H56" s="52">
        <f t="shared" si="68"/>
        <v>285573.92</v>
      </c>
      <c r="I56" s="52">
        <f t="shared" si="68"/>
        <v>5418159.9199999999</v>
      </c>
      <c r="J56" s="52">
        <f t="shared" ref="J56:K56" si="69">J57+J59+J61+J63</f>
        <v>164000</v>
      </c>
      <c r="K56" s="52">
        <f t="shared" si="69"/>
        <v>5582159.9199999999</v>
      </c>
      <c r="L56" s="52">
        <f t="shared" ref="L56:M56" si="70">L57+L59+L61+L63</f>
        <v>1189369.51</v>
      </c>
      <c r="M56" s="52">
        <f t="shared" si="70"/>
        <v>6771529.4299999997</v>
      </c>
      <c r="N56" s="52">
        <f t="shared" si="68"/>
        <v>5286563.18</v>
      </c>
      <c r="O56" s="52">
        <f t="shared" si="68"/>
        <v>0</v>
      </c>
      <c r="P56" s="52">
        <f t="shared" si="68"/>
        <v>5286563.18</v>
      </c>
      <c r="Q56" s="52">
        <f t="shared" ref="Q56:R56" si="71">Q57+Q59+Q61+Q63</f>
        <v>0</v>
      </c>
      <c r="R56" s="52">
        <f t="shared" si="71"/>
        <v>5286563.18</v>
      </c>
      <c r="S56" s="52">
        <f t="shared" si="68"/>
        <v>5286563.18</v>
      </c>
      <c r="T56" s="52">
        <f t="shared" si="68"/>
        <v>0</v>
      </c>
      <c r="U56" s="52">
        <f t="shared" si="68"/>
        <v>5286563.18</v>
      </c>
    </row>
    <row r="57" spans="1:21" s="17" customFormat="1" ht="13.5">
      <c r="A57" s="18" t="s">
        <v>56</v>
      </c>
      <c r="B57" s="19" t="s">
        <v>9</v>
      </c>
      <c r="C57" s="19" t="s">
        <v>10</v>
      </c>
      <c r="D57" s="19" t="s">
        <v>51</v>
      </c>
      <c r="E57" s="19" t="s">
        <v>57</v>
      </c>
      <c r="F57" s="19" t="s">
        <v>0</v>
      </c>
      <c r="G57" s="33">
        <f t="shared" ref="G57:U57" si="72">G58</f>
        <v>266797</v>
      </c>
      <c r="H57" s="33">
        <f t="shared" si="72"/>
        <v>0</v>
      </c>
      <c r="I57" s="33">
        <f t="shared" si="72"/>
        <v>266797</v>
      </c>
      <c r="J57" s="33">
        <f t="shared" si="72"/>
        <v>314000</v>
      </c>
      <c r="K57" s="33">
        <f t="shared" si="72"/>
        <v>580797</v>
      </c>
      <c r="L57" s="33">
        <f t="shared" si="72"/>
        <v>0</v>
      </c>
      <c r="M57" s="33">
        <f t="shared" si="72"/>
        <v>580797</v>
      </c>
      <c r="N57" s="33">
        <f t="shared" si="72"/>
        <v>274800.90999999997</v>
      </c>
      <c r="O57" s="33">
        <f t="shared" si="72"/>
        <v>0</v>
      </c>
      <c r="P57" s="33">
        <f t="shared" si="72"/>
        <v>274800.90999999997</v>
      </c>
      <c r="Q57" s="33">
        <f t="shared" si="72"/>
        <v>0</v>
      </c>
      <c r="R57" s="33">
        <f t="shared" si="72"/>
        <v>274800.90999999997</v>
      </c>
      <c r="S57" s="33">
        <f t="shared" si="72"/>
        <v>274800.90999999997</v>
      </c>
      <c r="T57" s="33">
        <f t="shared" si="72"/>
        <v>0</v>
      </c>
      <c r="U57" s="33">
        <f t="shared" si="72"/>
        <v>274800.90999999997</v>
      </c>
    </row>
    <row r="58" spans="1:21" s="17" customFormat="1">
      <c r="A58" s="21" t="s">
        <v>21</v>
      </c>
      <c r="B58" s="22" t="s">
        <v>9</v>
      </c>
      <c r="C58" s="22" t="s">
        <v>10</v>
      </c>
      <c r="D58" s="22" t="s">
        <v>51</v>
      </c>
      <c r="E58" s="22" t="s">
        <v>57</v>
      </c>
      <c r="F58" s="22" t="s">
        <v>22</v>
      </c>
      <c r="G58" s="46">
        <v>266797</v>
      </c>
      <c r="H58" s="46">
        <v>0</v>
      </c>
      <c r="I58" s="46">
        <f>G58+H58</f>
        <v>266797</v>
      </c>
      <c r="J58" s="46">
        <v>314000</v>
      </c>
      <c r="K58" s="46">
        <f>I58+J58</f>
        <v>580797</v>
      </c>
      <c r="L58" s="46">
        <v>0</v>
      </c>
      <c r="M58" s="46">
        <f>K58+L58</f>
        <v>580797</v>
      </c>
      <c r="N58" s="46">
        <v>274800.90999999997</v>
      </c>
      <c r="O58" s="46">
        <v>0</v>
      </c>
      <c r="P58" s="46">
        <f>N58+O58</f>
        <v>274800.90999999997</v>
      </c>
      <c r="Q58" s="46">
        <v>0</v>
      </c>
      <c r="R58" s="46">
        <f>P58+Q58</f>
        <v>274800.90999999997</v>
      </c>
      <c r="S58" s="46">
        <v>274800.90999999997</v>
      </c>
      <c r="T58" s="46">
        <v>0</v>
      </c>
      <c r="U58" s="46">
        <f>S58+T58</f>
        <v>274800.90999999997</v>
      </c>
    </row>
    <row r="59" spans="1:21" s="17" customFormat="1" ht="13.5">
      <c r="A59" s="18" t="s">
        <v>58</v>
      </c>
      <c r="B59" s="19" t="s">
        <v>9</v>
      </c>
      <c r="C59" s="19" t="s">
        <v>10</v>
      </c>
      <c r="D59" s="19" t="s">
        <v>51</v>
      </c>
      <c r="E59" s="19" t="s">
        <v>59</v>
      </c>
      <c r="F59" s="19" t="s">
        <v>0</v>
      </c>
      <c r="G59" s="33">
        <f t="shared" ref="G59:U59" si="73">G60</f>
        <v>259403</v>
      </c>
      <c r="H59" s="33">
        <f t="shared" si="73"/>
        <v>0</v>
      </c>
      <c r="I59" s="33">
        <f t="shared" si="73"/>
        <v>259403</v>
      </c>
      <c r="J59" s="33">
        <f t="shared" si="73"/>
        <v>-150000</v>
      </c>
      <c r="K59" s="33">
        <f t="shared" si="73"/>
        <v>109403</v>
      </c>
      <c r="L59" s="33">
        <f t="shared" si="73"/>
        <v>0</v>
      </c>
      <c r="M59" s="33">
        <f t="shared" si="73"/>
        <v>109403</v>
      </c>
      <c r="N59" s="33">
        <f t="shared" si="73"/>
        <v>267185.09000000003</v>
      </c>
      <c r="O59" s="33">
        <f t="shared" si="73"/>
        <v>0</v>
      </c>
      <c r="P59" s="33">
        <f t="shared" si="73"/>
        <v>267185.09000000003</v>
      </c>
      <c r="Q59" s="33">
        <f t="shared" si="73"/>
        <v>0</v>
      </c>
      <c r="R59" s="33">
        <f t="shared" si="73"/>
        <v>267185.09000000003</v>
      </c>
      <c r="S59" s="33">
        <f t="shared" si="73"/>
        <v>267185.09000000003</v>
      </c>
      <c r="T59" s="33">
        <f t="shared" si="73"/>
        <v>0</v>
      </c>
      <c r="U59" s="33">
        <f t="shared" si="73"/>
        <v>267185.09000000003</v>
      </c>
    </row>
    <row r="60" spans="1:21" s="17" customFormat="1">
      <c r="A60" s="21" t="s">
        <v>21</v>
      </c>
      <c r="B60" s="22" t="s">
        <v>9</v>
      </c>
      <c r="C60" s="22" t="s">
        <v>10</v>
      </c>
      <c r="D60" s="22" t="s">
        <v>51</v>
      </c>
      <c r="E60" s="22" t="s">
        <v>59</v>
      </c>
      <c r="F60" s="22" t="s">
        <v>22</v>
      </c>
      <c r="G60" s="46">
        <v>259403</v>
      </c>
      <c r="H60" s="46">
        <v>0</v>
      </c>
      <c r="I60" s="46">
        <f>G60+H60</f>
        <v>259403</v>
      </c>
      <c r="J60" s="46">
        <v>-150000</v>
      </c>
      <c r="K60" s="46">
        <f>I60+J60</f>
        <v>109403</v>
      </c>
      <c r="L60" s="46">
        <v>0</v>
      </c>
      <c r="M60" s="46">
        <f>K60+L60</f>
        <v>109403</v>
      </c>
      <c r="N60" s="46">
        <v>267185.09000000003</v>
      </c>
      <c r="O60" s="46">
        <v>0</v>
      </c>
      <c r="P60" s="46">
        <f>N60+O60</f>
        <v>267185.09000000003</v>
      </c>
      <c r="Q60" s="46">
        <v>0</v>
      </c>
      <c r="R60" s="46">
        <f>P60+Q60</f>
        <v>267185.09000000003</v>
      </c>
      <c r="S60" s="46">
        <v>267185.09000000003</v>
      </c>
      <c r="T60" s="46">
        <v>0</v>
      </c>
      <c r="U60" s="46">
        <f>S60+T60</f>
        <v>267185.09000000003</v>
      </c>
    </row>
    <row r="61" spans="1:21" s="17" customFormat="1" ht="13.5">
      <c r="A61" s="18" t="s">
        <v>60</v>
      </c>
      <c r="B61" s="19" t="s">
        <v>9</v>
      </c>
      <c r="C61" s="19" t="s">
        <v>10</v>
      </c>
      <c r="D61" s="19" t="s">
        <v>51</v>
      </c>
      <c r="E61" s="19" t="s">
        <v>61</v>
      </c>
      <c r="F61" s="19" t="s">
        <v>0</v>
      </c>
      <c r="G61" s="33">
        <f t="shared" ref="G61:U61" si="74">G62</f>
        <v>2319270</v>
      </c>
      <c r="H61" s="33">
        <f t="shared" si="74"/>
        <v>0</v>
      </c>
      <c r="I61" s="33">
        <f t="shared" si="74"/>
        <v>2319270</v>
      </c>
      <c r="J61" s="33">
        <f t="shared" si="74"/>
        <v>0</v>
      </c>
      <c r="K61" s="33">
        <f t="shared" si="74"/>
        <v>2319270</v>
      </c>
      <c r="L61" s="33">
        <f t="shared" si="74"/>
        <v>0</v>
      </c>
      <c r="M61" s="33">
        <f t="shared" si="74"/>
        <v>2319270</v>
      </c>
      <c r="N61" s="33">
        <f t="shared" si="74"/>
        <v>2388848.1</v>
      </c>
      <c r="O61" s="33">
        <f t="shared" si="74"/>
        <v>0</v>
      </c>
      <c r="P61" s="33">
        <f t="shared" si="74"/>
        <v>2388848.1</v>
      </c>
      <c r="Q61" s="33">
        <f t="shared" si="74"/>
        <v>0</v>
      </c>
      <c r="R61" s="33">
        <f t="shared" si="74"/>
        <v>2388848.1</v>
      </c>
      <c r="S61" s="33">
        <f t="shared" si="74"/>
        <v>2388848.1</v>
      </c>
      <c r="T61" s="33">
        <f t="shared" si="74"/>
        <v>0</v>
      </c>
      <c r="U61" s="33">
        <f t="shared" si="74"/>
        <v>2388848.1</v>
      </c>
    </row>
    <row r="62" spans="1:21" s="17" customFormat="1">
      <c r="A62" s="21" t="s">
        <v>21</v>
      </c>
      <c r="B62" s="22" t="s">
        <v>9</v>
      </c>
      <c r="C62" s="22" t="s">
        <v>10</v>
      </c>
      <c r="D62" s="22" t="s">
        <v>51</v>
      </c>
      <c r="E62" s="22" t="s">
        <v>61</v>
      </c>
      <c r="F62" s="22" t="s">
        <v>22</v>
      </c>
      <c r="G62" s="46">
        <v>2319270</v>
      </c>
      <c r="H62" s="46">
        <v>0</v>
      </c>
      <c r="I62" s="46">
        <f>G62+H62</f>
        <v>2319270</v>
      </c>
      <c r="J62" s="46">
        <v>0</v>
      </c>
      <c r="K62" s="46">
        <f>I62+J62</f>
        <v>2319270</v>
      </c>
      <c r="L62" s="46">
        <v>0</v>
      </c>
      <c r="M62" s="46">
        <f>K62+L62</f>
        <v>2319270</v>
      </c>
      <c r="N62" s="46">
        <v>2388848.1</v>
      </c>
      <c r="O62" s="46">
        <v>0</v>
      </c>
      <c r="P62" s="46">
        <f>N62+O62</f>
        <v>2388848.1</v>
      </c>
      <c r="Q62" s="46">
        <v>0</v>
      </c>
      <c r="R62" s="46">
        <f>P62+Q62</f>
        <v>2388848.1</v>
      </c>
      <c r="S62" s="46">
        <v>2388848.1</v>
      </c>
      <c r="T62" s="46">
        <v>0</v>
      </c>
      <c r="U62" s="46">
        <f>S62+T62</f>
        <v>2388848.1</v>
      </c>
    </row>
    <row r="63" spans="1:21" s="17" customFormat="1" ht="13.5">
      <c r="A63" s="18" t="s">
        <v>62</v>
      </c>
      <c r="B63" s="19" t="s">
        <v>9</v>
      </c>
      <c r="C63" s="19" t="s">
        <v>10</v>
      </c>
      <c r="D63" s="19" t="s">
        <v>51</v>
      </c>
      <c r="E63" s="19" t="s">
        <v>63</v>
      </c>
      <c r="F63" s="19" t="s">
        <v>0</v>
      </c>
      <c r="G63" s="33">
        <f t="shared" ref="G63:U63" si="75">G64+G65</f>
        <v>2287116</v>
      </c>
      <c r="H63" s="33">
        <f t="shared" si="75"/>
        <v>285573.92</v>
      </c>
      <c r="I63" s="33">
        <f t="shared" si="75"/>
        <v>2572689.92</v>
      </c>
      <c r="J63" s="33">
        <f t="shared" ref="J63:K63" si="76">J64+J65</f>
        <v>0</v>
      </c>
      <c r="K63" s="33">
        <f t="shared" si="76"/>
        <v>2572689.92</v>
      </c>
      <c r="L63" s="33">
        <f t="shared" ref="L63:M63" si="77">L64+L65</f>
        <v>1189369.51</v>
      </c>
      <c r="M63" s="33">
        <f t="shared" si="77"/>
        <v>3762059.4299999997</v>
      </c>
      <c r="N63" s="33">
        <f t="shared" si="75"/>
        <v>2355729.08</v>
      </c>
      <c r="O63" s="33">
        <f t="shared" si="75"/>
        <v>0</v>
      </c>
      <c r="P63" s="33">
        <f t="shared" si="75"/>
        <v>2355729.08</v>
      </c>
      <c r="Q63" s="33">
        <f t="shared" ref="Q63:R63" si="78">Q64+Q65</f>
        <v>0</v>
      </c>
      <c r="R63" s="33">
        <f t="shared" si="78"/>
        <v>2355729.08</v>
      </c>
      <c r="S63" s="33">
        <f t="shared" si="75"/>
        <v>2355729.08</v>
      </c>
      <c r="T63" s="33">
        <f t="shared" si="75"/>
        <v>0</v>
      </c>
      <c r="U63" s="33">
        <f t="shared" si="75"/>
        <v>2355729.08</v>
      </c>
    </row>
    <row r="64" spans="1:21" s="17" customFormat="1">
      <c r="A64" s="21" t="s">
        <v>21</v>
      </c>
      <c r="B64" s="22" t="s">
        <v>9</v>
      </c>
      <c r="C64" s="22" t="s">
        <v>10</v>
      </c>
      <c r="D64" s="22" t="s">
        <v>51</v>
      </c>
      <c r="E64" s="22" t="s">
        <v>63</v>
      </c>
      <c r="F64" s="22" t="s">
        <v>22</v>
      </c>
      <c r="G64" s="46">
        <v>2287116</v>
      </c>
      <c r="H64" s="46">
        <f>113071.23+91428.94+80073.75</f>
        <v>284573.92</v>
      </c>
      <c r="I64" s="46">
        <f>G64+H64</f>
        <v>2571689.92</v>
      </c>
      <c r="J64" s="46">
        <v>0</v>
      </c>
      <c r="K64" s="46">
        <f>I64+J64</f>
        <v>2571689.92</v>
      </c>
      <c r="L64" s="46">
        <f>155818.99+708554.13+324996.39</f>
        <v>1189369.51</v>
      </c>
      <c r="M64" s="46">
        <f>K64+L64</f>
        <v>3761059.4299999997</v>
      </c>
      <c r="N64" s="46">
        <v>2355729.08</v>
      </c>
      <c r="O64" s="46">
        <v>0</v>
      </c>
      <c r="P64" s="46">
        <f>N64+O64</f>
        <v>2355729.08</v>
      </c>
      <c r="Q64" s="46">
        <v>0</v>
      </c>
      <c r="R64" s="46">
        <f>P64+Q64</f>
        <v>2355729.08</v>
      </c>
      <c r="S64" s="46">
        <v>2355729.08</v>
      </c>
      <c r="T64" s="46">
        <v>0</v>
      </c>
      <c r="U64" s="46">
        <f>S64+T64</f>
        <v>2355729.08</v>
      </c>
    </row>
    <row r="65" spans="1:21" s="37" customFormat="1">
      <c r="A65" s="35" t="s">
        <v>40</v>
      </c>
      <c r="B65" s="36" t="s">
        <v>9</v>
      </c>
      <c r="C65" s="36" t="s">
        <v>10</v>
      </c>
      <c r="D65" s="36" t="s">
        <v>51</v>
      </c>
      <c r="E65" s="36" t="s">
        <v>63</v>
      </c>
      <c r="F65" s="36" t="s">
        <v>41</v>
      </c>
      <c r="G65" s="46">
        <v>0</v>
      </c>
      <c r="H65" s="46">
        <v>1000</v>
      </c>
      <c r="I65" s="46">
        <f>G65+H65</f>
        <v>1000</v>
      </c>
      <c r="J65" s="46">
        <v>0</v>
      </c>
      <c r="K65" s="46">
        <f>I65+J65</f>
        <v>1000</v>
      </c>
      <c r="L65" s="46">
        <v>0</v>
      </c>
      <c r="M65" s="46">
        <f>K65+L65</f>
        <v>1000</v>
      </c>
      <c r="N65" s="46">
        <v>0</v>
      </c>
      <c r="O65" s="46">
        <v>0</v>
      </c>
      <c r="P65" s="46">
        <f>N65+O65</f>
        <v>0</v>
      </c>
      <c r="Q65" s="46">
        <v>0</v>
      </c>
      <c r="R65" s="46">
        <f>P65+Q65</f>
        <v>0</v>
      </c>
      <c r="S65" s="46">
        <v>0</v>
      </c>
      <c r="T65" s="46">
        <v>0</v>
      </c>
      <c r="U65" s="46">
        <f>S65+T65</f>
        <v>0</v>
      </c>
    </row>
    <row r="66" spans="1:21" s="17" customFormat="1">
      <c r="A66" s="14" t="s">
        <v>64</v>
      </c>
      <c r="B66" s="15" t="s">
        <v>9</v>
      </c>
      <c r="C66" s="15" t="s">
        <v>10</v>
      </c>
      <c r="D66" s="15" t="s">
        <v>51</v>
      </c>
      <c r="E66" s="15" t="s">
        <v>65</v>
      </c>
      <c r="F66" s="15" t="s">
        <v>0</v>
      </c>
      <c r="G66" s="52">
        <f t="shared" ref="G66:U67" si="79">G67</f>
        <v>1889910</v>
      </c>
      <c r="H66" s="52">
        <f t="shared" si="79"/>
        <v>1062089.4000000001</v>
      </c>
      <c r="I66" s="52">
        <f t="shared" si="79"/>
        <v>2951999.4000000004</v>
      </c>
      <c r="J66" s="52">
        <f t="shared" si="79"/>
        <v>-794615.58</v>
      </c>
      <c r="K66" s="52">
        <f t="shared" si="79"/>
        <v>2157383.8200000003</v>
      </c>
      <c r="L66" s="52">
        <f t="shared" si="79"/>
        <v>0</v>
      </c>
      <c r="M66" s="52">
        <f t="shared" si="79"/>
        <v>2157383.8200000003</v>
      </c>
      <c r="N66" s="52">
        <f t="shared" si="79"/>
        <v>1946608</v>
      </c>
      <c r="O66" s="52">
        <f t="shared" si="79"/>
        <v>2478208.6</v>
      </c>
      <c r="P66" s="52">
        <f t="shared" si="79"/>
        <v>4424816.5999999996</v>
      </c>
      <c r="Q66" s="52">
        <f t="shared" si="79"/>
        <v>-1471436.36</v>
      </c>
      <c r="R66" s="52">
        <f t="shared" si="79"/>
        <v>2953380.2399999993</v>
      </c>
      <c r="S66" s="52">
        <f t="shared" si="79"/>
        <v>1946608</v>
      </c>
      <c r="T66" s="52">
        <f t="shared" si="79"/>
        <v>0</v>
      </c>
      <c r="U66" s="52">
        <f t="shared" si="79"/>
        <v>1946608</v>
      </c>
    </row>
    <row r="67" spans="1:21" s="17" customFormat="1" ht="27">
      <c r="A67" s="18" t="s">
        <v>66</v>
      </c>
      <c r="B67" s="19" t="s">
        <v>9</v>
      </c>
      <c r="C67" s="19" t="s">
        <v>10</v>
      </c>
      <c r="D67" s="19" t="s">
        <v>51</v>
      </c>
      <c r="E67" s="19" t="s">
        <v>67</v>
      </c>
      <c r="F67" s="19" t="s">
        <v>0</v>
      </c>
      <c r="G67" s="33">
        <f t="shared" si="79"/>
        <v>1889910</v>
      </c>
      <c r="H67" s="33">
        <f t="shared" si="79"/>
        <v>1062089.4000000001</v>
      </c>
      <c r="I67" s="33">
        <f t="shared" si="79"/>
        <v>2951999.4000000004</v>
      </c>
      <c r="J67" s="33">
        <f t="shared" si="79"/>
        <v>-794615.58</v>
      </c>
      <c r="K67" s="33">
        <f t="shared" si="79"/>
        <v>2157383.8200000003</v>
      </c>
      <c r="L67" s="33">
        <f t="shared" si="79"/>
        <v>0</v>
      </c>
      <c r="M67" s="33">
        <f t="shared" si="79"/>
        <v>2157383.8200000003</v>
      </c>
      <c r="N67" s="33">
        <f t="shared" si="79"/>
        <v>1946608</v>
      </c>
      <c r="O67" s="33">
        <f t="shared" si="79"/>
        <v>2478208.6</v>
      </c>
      <c r="P67" s="33">
        <f t="shared" si="79"/>
        <v>4424816.5999999996</v>
      </c>
      <c r="Q67" s="33">
        <f t="shared" si="79"/>
        <v>-1471436.36</v>
      </c>
      <c r="R67" s="33">
        <f t="shared" si="79"/>
        <v>2953380.2399999993</v>
      </c>
      <c r="S67" s="33">
        <f t="shared" si="79"/>
        <v>1946608</v>
      </c>
      <c r="T67" s="33">
        <f t="shared" si="79"/>
        <v>0</v>
      </c>
      <c r="U67" s="33">
        <f t="shared" si="79"/>
        <v>1946608</v>
      </c>
    </row>
    <row r="68" spans="1:21" s="17" customFormat="1">
      <c r="A68" s="21" t="s">
        <v>21</v>
      </c>
      <c r="B68" s="22" t="s">
        <v>9</v>
      </c>
      <c r="C68" s="22" t="s">
        <v>10</v>
      </c>
      <c r="D68" s="22" t="s">
        <v>51</v>
      </c>
      <c r="E68" s="22" t="s">
        <v>67</v>
      </c>
      <c r="F68" s="22" t="s">
        <v>22</v>
      </c>
      <c r="G68" s="46">
        <v>1889910</v>
      </c>
      <c r="H68" s="46">
        <f>53104.47+1008984.93</f>
        <v>1062089.4000000001</v>
      </c>
      <c r="I68" s="46">
        <f>G68+H68</f>
        <v>2951999.4000000004</v>
      </c>
      <c r="J68" s="46">
        <f>-630615.58-164000</f>
        <v>-794615.58</v>
      </c>
      <c r="K68" s="46">
        <f>I68+J68</f>
        <v>2157383.8200000003</v>
      </c>
      <c r="L68" s="46">
        <v>0</v>
      </c>
      <c r="M68" s="46">
        <f>K68+L68</f>
        <v>2157383.8200000003</v>
      </c>
      <c r="N68" s="46">
        <v>1946608</v>
      </c>
      <c r="O68" s="46">
        <f>123910.43+2354298.17</f>
        <v>2478208.6</v>
      </c>
      <c r="P68" s="46">
        <f>N68+O68</f>
        <v>4424816.5999999996</v>
      </c>
      <c r="Q68" s="46">
        <v>-1471436.36</v>
      </c>
      <c r="R68" s="46">
        <f>P68+Q68</f>
        <v>2953380.2399999993</v>
      </c>
      <c r="S68" s="46">
        <v>1946608</v>
      </c>
      <c r="T68" s="46">
        <v>0</v>
      </c>
      <c r="U68" s="46">
        <f>S68+T68</f>
        <v>1946608</v>
      </c>
    </row>
    <row r="69" spans="1:21" s="17" customFormat="1">
      <c r="A69" s="14" t="s">
        <v>13</v>
      </c>
      <c r="B69" s="15" t="s">
        <v>9</v>
      </c>
      <c r="C69" s="15" t="s">
        <v>10</v>
      </c>
      <c r="D69" s="15" t="s">
        <v>51</v>
      </c>
      <c r="E69" s="15" t="s">
        <v>14</v>
      </c>
      <c r="F69" s="15" t="s">
        <v>0</v>
      </c>
      <c r="G69" s="52">
        <f t="shared" ref="G69:U69" si="80">G70+G77</f>
        <v>11154676.75</v>
      </c>
      <c r="H69" s="52">
        <f t="shared" si="80"/>
        <v>0</v>
      </c>
      <c r="I69" s="52">
        <f t="shared" si="80"/>
        <v>11154676.75</v>
      </c>
      <c r="J69" s="52">
        <f t="shared" ref="J69:K69" si="81">J70+J77</f>
        <v>0</v>
      </c>
      <c r="K69" s="52">
        <f t="shared" si="81"/>
        <v>11154676.75</v>
      </c>
      <c r="L69" s="52">
        <f t="shared" ref="L69:M69" si="82">L70+L77</f>
        <v>0</v>
      </c>
      <c r="M69" s="52">
        <f t="shared" si="82"/>
        <v>11154676.75</v>
      </c>
      <c r="N69" s="52">
        <f t="shared" si="80"/>
        <v>23712258.82</v>
      </c>
      <c r="O69" s="52">
        <f t="shared" si="80"/>
        <v>0</v>
      </c>
      <c r="P69" s="52">
        <f t="shared" si="80"/>
        <v>23712258.82</v>
      </c>
      <c r="Q69" s="52">
        <f t="shared" ref="Q69:R69" si="83">Q70+Q77</f>
        <v>0</v>
      </c>
      <c r="R69" s="52">
        <f t="shared" si="83"/>
        <v>23712258.82</v>
      </c>
      <c r="S69" s="52">
        <f t="shared" si="80"/>
        <v>31542126.490000002</v>
      </c>
      <c r="T69" s="52">
        <f t="shared" si="80"/>
        <v>0</v>
      </c>
      <c r="U69" s="52">
        <f t="shared" si="80"/>
        <v>31542126.490000002</v>
      </c>
    </row>
    <row r="70" spans="1:21" s="17" customFormat="1">
      <c r="A70" s="14" t="s">
        <v>44</v>
      </c>
      <c r="B70" s="15" t="s">
        <v>9</v>
      </c>
      <c r="C70" s="15" t="s">
        <v>10</v>
      </c>
      <c r="D70" s="15" t="s">
        <v>51</v>
      </c>
      <c r="E70" s="15" t="s">
        <v>45</v>
      </c>
      <c r="F70" s="15" t="s">
        <v>0</v>
      </c>
      <c r="G70" s="52">
        <f t="shared" ref="G70:U70" si="84">G71+G73</f>
        <v>11154676.75</v>
      </c>
      <c r="H70" s="52">
        <f t="shared" si="84"/>
        <v>0</v>
      </c>
      <c r="I70" s="52">
        <f t="shared" si="84"/>
        <v>11154676.75</v>
      </c>
      <c r="J70" s="52">
        <f t="shared" ref="J70:K70" si="85">J71+J73</f>
        <v>0</v>
      </c>
      <c r="K70" s="52">
        <f t="shared" si="85"/>
        <v>11154676.75</v>
      </c>
      <c r="L70" s="52">
        <f t="shared" ref="L70:M70" si="86">L71+L73</f>
        <v>0</v>
      </c>
      <c r="M70" s="52">
        <f t="shared" si="86"/>
        <v>11154676.75</v>
      </c>
      <c r="N70" s="52">
        <f t="shared" si="84"/>
        <v>10569199.33</v>
      </c>
      <c r="O70" s="52">
        <f t="shared" si="84"/>
        <v>0</v>
      </c>
      <c r="P70" s="52">
        <f t="shared" si="84"/>
        <v>10569199.33</v>
      </c>
      <c r="Q70" s="52">
        <f t="shared" ref="Q70:R70" si="87">Q71+Q73</f>
        <v>0</v>
      </c>
      <c r="R70" s="52">
        <f t="shared" si="87"/>
        <v>10569199.33</v>
      </c>
      <c r="S70" s="52">
        <f t="shared" si="84"/>
        <v>4983796.24</v>
      </c>
      <c r="T70" s="52">
        <f t="shared" si="84"/>
        <v>0</v>
      </c>
      <c r="U70" s="52">
        <f t="shared" si="84"/>
        <v>4983796.24</v>
      </c>
    </row>
    <row r="71" spans="1:21" s="17" customFormat="1" ht="27">
      <c r="A71" s="18" t="s">
        <v>68</v>
      </c>
      <c r="B71" s="19" t="s">
        <v>9</v>
      </c>
      <c r="C71" s="19" t="s">
        <v>10</v>
      </c>
      <c r="D71" s="19" t="s">
        <v>51</v>
      </c>
      <c r="E71" s="19" t="s">
        <v>69</v>
      </c>
      <c r="F71" s="19" t="s">
        <v>0</v>
      </c>
      <c r="G71" s="33">
        <f t="shared" ref="G71:U71" si="88">G72</f>
        <v>7650000</v>
      </c>
      <c r="H71" s="33">
        <f t="shared" si="88"/>
        <v>0</v>
      </c>
      <c r="I71" s="33">
        <f t="shared" si="88"/>
        <v>7650000</v>
      </c>
      <c r="J71" s="33">
        <f t="shared" si="88"/>
        <v>0</v>
      </c>
      <c r="K71" s="33">
        <f t="shared" si="88"/>
        <v>7650000</v>
      </c>
      <c r="L71" s="33">
        <f t="shared" si="88"/>
        <v>0</v>
      </c>
      <c r="M71" s="33">
        <f t="shared" si="88"/>
        <v>7650000</v>
      </c>
      <c r="N71" s="33">
        <f t="shared" si="88"/>
        <v>6541958</v>
      </c>
      <c r="O71" s="33">
        <f t="shared" si="88"/>
        <v>0</v>
      </c>
      <c r="P71" s="33">
        <f t="shared" si="88"/>
        <v>6541958</v>
      </c>
      <c r="Q71" s="33">
        <f t="shared" si="88"/>
        <v>0</v>
      </c>
      <c r="R71" s="33">
        <f t="shared" si="88"/>
        <v>6541958</v>
      </c>
      <c r="S71" s="33">
        <f t="shared" si="88"/>
        <v>450000</v>
      </c>
      <c r="T71" s="33">
        <f t="shared" si="88"/>
        <v>0</v>
      </c>
      <c r="U71" s="33">
        <f t="shared" si="88"/>
        <v>450000</v>
      </c>
    </row>
    <row r="72" spans="1:21" s="17" customFormat="1">
      <c r="A72" s="21" t="s">
        <v>40</v>
      </c>
      <c r="B72" s="22" t="s">
        <v>9</v>
      </c>
      <c r="C72" s="22" t="s">
        <v>10</v>
      </c>
      <c r="D72" s="22" t="s">
        <v>51</v>
      </c>
      <c r="E72" s="22" t="s">
        <v>69</v>
      </c>
      <c r="F72" s="22" t="s">
        <v>41</v>
      </c>
      <c r="G72" s="46">
        <v>7650000</v>
      </c>
      <c r="H72" s="46">
        <v>0</v>
      </c>
      <c r="I72" s="46">
        <f>G72+H72</f>
        <v>7650000</v>
      </c>
      <c r="J72" s="46">
        <v>0</v>
      </c>
      <c r="K72" s="46">
        <f>I72+J72</f>
        <v>7650000</v>
      </c>
      <c r="L72" s="46">
        <v>0</v>
      </c>
      <c r="M72" s="46">
        <f>K72+L72</f>
        <v>7650000</v>
      </c>
      <c r="N72" s="46">
        <v>6541958</v>
      </c>
      <c r="O72" s="46">
        <v>0</v>
      </c>
      <c r="P72" s="46">
        <f>N72+O72</f>
        <v>6541958</v>
      </c>
      <c r="Q72" s="46">
        <v>0</v>
      </c>
      <c r="R72" s="46">
        <f>P72+Q72</f>
        <v>6541958</v>
      </c>
      <c r="S72" s="46">
        <v>450000</v>
      </c>
      <c r="T72" s="46">
        <v>0</v>
      </c>
      <c r="U72" s="46">
        <f>S72+T72</f>
        <v>450000</v>
      </c>
    </row>
    <row r="73" spans="1:21" s="17" customFormat="1" ht="12.75" customHeight="1">
      <c r="A73" s="18" t="s">
        <v>70</v>
      </c>
      <c r="B73" s="19" t="s">
        <v>9</v>
      </c>
      <c r="C73" s="19" t="s">
        <v>10</v>
      </c>
      <c r="D73" s="19" t="s">
        <v>51</v>
      </c>
      <c r="E73" s="19" t="s">
        <v>71</v>
      </c>
      <c r="F73" s="19" t="s">
        <v>0</v>
      </c>
      <c r="G73" s="33">
        <f t="shared" ref="G73:U73" si="89">G74+G75+G76</f>
        <v>3504676.75</v>
      </c>
      <c r="H73" s="33">
        <f t="shared" si="89"/>
        <v>0</v>
      </c>
      <c r="I73" s="33">
        <f t="shared" si="89"/>
        <v>3504676.75</v>
      </c>
      <c r="J73" s="33">
        <f t="shared" ref="J73:K73" si="90">J74+J75+J76</f>
        <v>0</v>
      </c>
      <c r="K73" s="33">
        <f t="shared" si="90"/>
        <v>3504676.75</v>
      </c>
      <c r="L73" s="33">
        <f t="shared" ref="L73:M73" si="91">L74+L75+L76</f>
        <v>0</v>
      </c>
      <c r="M73" s="33">
        <f t="shared" si="91"/>
        <v>3504676.7499999995</v>
      </c>
      <c r="N73" s="33">
        <f t="shared" si="89"/>
        <v>4027241.33</v>
      </c>
      <c r="O73" s="33">
        <f t="shared" si="89"/>
        <v>0</v>
      </c>
      <c r="P73" s="33">
        <f t="shared" si="89"/>
        <v>4027241.33</v>
      </c>
      <c r="Q73" s="33">
        <f t="shared" ref="Q73:R73" si="92">Q74+Q75+Q76</f>
        <v>0</v>
      </c>
      <c r="R73" s="33">
        <f t="shared" si="92"/>
        <v>4027241.33</v>
      </c>
      <c r="S73" s="33">
        <f t="shared" si="89"/>
        <v>4533796.24</v>
      </c>
      <c r="T73" s="33">
        <f t="shared" si="89"/>
        <v>0</v>
      </c>
      <c r="U73" s="33">
        <f t="shared" si="89"/>
        <v>4533796.24</v>
      </c>
    </row>
    <row r="74" spans="1:21" s="17" customFormat="1">
      <c r="A74" s="21" t="s">
        <v>21</v>
      </c>
      <c r="B74" s="22" t="s">
        <v>9</v>
      </c>
      <c r="C74" s="22" t="s">
        <v>10</v>
      </c>
      <c r="D74" s="22" t="s">
        <v>51</v>
      </c>
      <c r="E74" s="22" t="s">
        <v>71</v>
      </c>
      <c r="F74" s="22" t="s">
        <v>22</v>
      </c>
      <c r="G74" s="46">
        <v>2255730.19</v>
      </c>
      <c r="H74" s="46">
        <v>0</v>
      </c>
      <c r="I74" s="46">
        <f>G74+H74</f>
        <v>2255730.19</v>
      </c>
      <c r="J74" s="46">
        <v>0</v>
      </c>
      <c r="K74" s="46">
        <f>I74+J74</f>
        <v>2255730.19</v>
      </c>
      <c r="L74" s="46">
        <v>252933.24</v>
      </c>
      <c r="M74" s="46">
        <f>K74+L74</f>
        <v>2508663.4299999997</v>
      </c>
      <c r="N74" s="46">
        <v>2769776.37</v>
      </c>
      <c r="O74" s="46">
        <v>0</v>
      </c>
      <c r="P74" s="46">
        <f>N74+O74</f>
        <v>2769776.37</v>
      </c>
      <c r="Q74" s="46">
        <v>0</v>
      </c>
      <c r="R74" s="46">
        <f>P74+Q74</f>
        <v>2769776.37</v>
      </c>
      <c r="S74" s="46">
        <v>3267557.33</v>
      </c>
      <c r="T74" s="46">
        <v>0</v>
      </c>
      <c r="U74" s="46">
        <f>S74+T74</f>
        <v>3267557.33</v>
      </c>
    </row>
    <row r="75" spans="1:21" s="17" customFormat="1">
      <c r="A75" s="21" t="s">
        <v>72</v>
      </c>
      <c r="B75" s="22" t="s">
        <v>9</v>
      </c>
      <c r="C75" s="22" t="s">
        <v>10</v>
      </c>
      <c r="D75" s="22" t="s">
        <v>51</v>
      </c>
      <c r="E75" s="22" t="s">
        <v>71</v>
      </c>
      <c r="F75" s="22" t="s">
        <v>73</v>
      </c>
      <c r="G75" s="46">
        <v>965000</v>
      </c>
      <c r="H75" s="46">
        <v>0</v>
      </c>
      <c r="I75" s="46">
        <f>G75+H75</f>
        <v>965000</v>
      </c>
      <c r="J75" s="46">
        <v>0</v>
      </c>
      <c r="K75" s="46">
        <f>I75+J75</f>
        <v>965000</v>
      </c>
      <c r="L75" s="46">
        <v>-252933.24</v>
      </c>
      <c r="M75" s="46">
        <f>K75+L75</f>
        <v>712066.76</v>
      </c>
      <c r="N75" s="46">
        <v>965000</v>
      </c>
      <c r="O75" s="46">
        <v>0</v>
      </c>
      <c r="P75" s="46">
        <f t="shared" ref="P75:P76" si="93">N75+O75</f>
        <v>965000</v>
      </c>
      <c r="Q75" s="46">
        <v>0</v>
      </c>
      <c r="R75" s="46">
        <f t="shared" ref="R75:R76" si="94">P75+Q75</f>
        <v>965000</v>
      </c>
      <c r="S75" s="46">
        <v>965000</v>
      </c>
      <c r="T75" s="46">
        <v>0</v>
      </c>
      <c r="U75" s="46">
        <f t="shared" ref="U75:U76" si="95">S75+T75</f>
        <v>965000</v>
      </c>
    </row>
    <row r="76" spans="1:21" s="17" customFormat="1">
      <c r="A76" s="21" t="s">
        <v>40</v>
      </c>
      <c r="B76" s="22" t="s">
        <v>9</v>
      </c>
      <c r="C76" s="22" t="s">
        <v>10</v>
      </c>
      <c r="D76" s="22" t="s">
        <v>51</v>
      </c>
      <c r="E76" s="22" t="s">
        <v>71</v>
      </c>
      <c r="F76" s="22" t="s">
        <v>41</v>
      </c>
      <c r="G76" s="46">
        <v>283946.56</v>
      </c>
      <c r="H76" s="46">
        <v>0</v>
      </c>
      <c r="I76" s="46">
        <f>G76+H76</f>
        <v>283946.56</v>
      </c>
      <c r="J76" s="46">
        <v>0</v>
      </c>
      <c r="K76" s="46">
        <f>I76+J76</f>
        <v>283946.56</v>
      </c>
      <c r="L76" s="46">
        <v>0</v>
      </c>
      <c r="M76" s="46">
        <f>K76+L76</f>
        <v>283946.56</v>
      </c>
      <c r="N76" s="46">
        <v>292464.96000000002</v>
      </c>
      <c r="O76" s="46">
        <v>0</v>
      </c>
      <c r="P76" s="46">
        <f t="shared" si="93"/>
        <v>292464.96000000002</v>
      </c>
      <c r="Q76" s="46">
        <v>0</v>
      </c>
      <c r="R76" s="46">
        <f t="shared" si="94"/>
        <v>292464.96000000002</v>
      </c>
      <c r="S76" s="46">
        <v>301238.90999999997</v>
      </c>
      <c r="T76" s="46">
        <v>0</v>
      </c>
      <c r="U76" s="46">
        <f t="shared" si="95"/>
        <v>301238.90999999997</v>
      </c>
    </row>
    <row r="77" spans="1:21" s="17" customFormat="1">
      <c r="A77" s="14" t="s">
        <v>74</v>
      </c>
      <c r="B77" s="15" t="s">
        <v>9</v>
      </c>
      <c r="C77" s="15" t="s">
        <v>10</v>
      </c>
      <c r="D77" s="15" t="s">
        <v>51</v>
      </c>
      <c r="E77" s="15" t="s">
        <v>75</v>
      </c>
      <c r="F77" s="15" t="s">
        <v>0</v>
      </c>
      <c r="G77" s="52">
        <f t="shared" ref="G77:U78" si="96">G78</f>
        <v>0</v>
      </c>
      <c r="H77" s="52">
        <f t="shared" si="96"/>
        <v>0</v>
      </c>
      <c r="I77" s="52">
        <f t="shared" si="96"/>
        <v>0</v>
      </c>
      <c r="J77" s="52">
        <f t="shared" si="96"/>
        <v>0</v>
      </c>
      <c r="K77" s="52">
        <f t="shared" si="96"/>
        <v>0</v>
      </c>
      <c r="L77" s="52">
        <f t="shared" si="96"/>
        <v>0</v>
      </c>
      <c r="M77" s="52">
        <f t="shared" si="96"/>
        <v>0</v>
      </c>
      <c r="N77" s="52">
        <f t="shared" si="96"/>
        <v>13143059.49</v>
      </c>
      <c r="O77" s="52">
        <f t="shared" si="96"/>
        <v>0</v>
      </c>
      <c r="P77" s="52">
        <f t="shared" si="96"/>
        <v>13143059.49</v>
      </c>
      <c r="Q77" s="52">
        <f t="shared" si="96"/>
        <v>0</v>
      </c>
      <c r="R77" s="52">
        <f t="shared" si="96"/>
        <v>13143059.49</v>
      </c>
      <c r="S77" s="52">
        <f t="shared" si="96"/>
        <v>26558330.25</v>
      </c>
      <c r="T77" s="52">
        <f t="shared" si="96"/>
        <v>0</v>
      </c>
      <c r="U77" s="52">
        <f t="shared" si="96"/>
        <v>26558330.25</v>
      </c>
    </row>
    <row r="78" spans="1:21" s="17" customFormat="1" ht="13.5">
      <c r="A78" s="42" t="s">
        <v>74</v>
      </c>
      <c r="B78" s="43" t="s">
        <v>9</v>
      </c>
      <c r="C78" s="43" t="s">
        <v>10</v>
      </c>
      <c r="D78" s="43" t="s">
        <v>51</v>
      </c>
      <c r="E78" s="43" t="s">
        <v>75</v>
      </c>
      <c r="F78" s="43" t="s">
        <v>0</v>
      </c>
      <c r="G78" s="33">
        <f t="shared" si="96"/>
        <v>0</v>
      </c>
      <c r="H78" s="33">
        <f t="shared" si="96"/>
        <v>0</v>
      </c>
      <c r="I78" s="33">
        <f t="shared" si="96"/>
        <v>0</v>
      </c>
      <c r="J78" s="33">
        <f t="shared" si="96"/>
        <v>0</v>
      </c>
      <c r="K78" s="33">
        <f t="shared" si="96"/>
        <v>0</v>
      </c>
      <c r="L78" s="33">
        <f t="shared" si="96"/>
        <v>0</v>
      </c>
      <c r="M78" s="33">
        <f t="shared" si="96"/>
        <v>0</v>
      </c>
      <c r="N78" s="33">
        <f t="shared" si="96"/>
        <v>13143059.49</v>
      </c>
      <c r="O78" s="33">
        <f t="shared" si="96"/>
        <v>0</v>
      </c>
      <c r="P78" s="33">
        <f t="shared" si="96"/>
        <v>13143059.49</v>
      </c>
      <c r="Q78" s="33">
        <f t="shared" si="96"/>
        <v>0</v>
      </c>
      <c r="R78" s="33">
        <f t="shared" si="96"/>
        <v>13143059.49</v>
      </c>
      <c r="S78" s="33">
        <f t="shared" si="96"/>
        <v>26558330.25</v>
      </c>
      <c r="T78" s="33">
        <f t="shared" si="96"/>
        <v>0</v>
      </c>
      <c r="U78" s="33">
        <f t="shared" si="96"/>
        <v>26558330.25</v>
      </c>
    </row>
    <row r="79" spans="1:21" s="17" customFormat="1">
      <c r="A79" s="47" t="s">
        <v>40</v>
      </c>
      <c r="B79" s="48" t="s">
        <v>9</v>
      </c>
      <c r="C79" s="48" t="s">
        <v>10</v>
      </c>
      <c r="D79" s="48" t="s">
        <v>51</v>
      </c>
      <c r="E79" s="48" t="s">
        <v>75</v>
      </c>
      <c r="F79" s="48" t="s">
        <v>41</v>
      </c>
      <c r="G79" s="46">
        <v>0</v>
      </c>
      <c r="H79" s="46">
        <v>0</v>
      </c>
      <c r="I79" s="46">
        <f>G79+H79</f>
        <v>0</v>
      </c>
      <c r="J79" s="46">
        <v>0</v>
      </c>
      <c r="K79" s="46">
        <f>I79+J79</f>
        <v>0</v>
      </c>
      <c r="L79" s="46">
        <v>0</v>
      </c>
      <c r="M79" s="46">
        <f>K79+L79</f>
        <v>0</v>
      </c>
      <c r="N79" s="80">
        <f>13143059.49</f>
        <v>13143059.49</v>
      </c>
      <c r="O79" s="80">
        <v>0</v>
      </c>
      <c r="P79" s="80">
        <f>N79+O79</f>
        <v>13143059.49</v>
      </c>
      <c r="Q79" s="80">
        <v>0</v>
      </c>
      <c r="R79" s="80">
        <f>P79+Q79</f>
        <v>13143059.49</v>
      </c>
      <c r="S79" s="80">
        <f>26558330.25</f>
        <v>26558330.25</v>
      </c>
      <c r="T79" s="80">
        <v>0</v>
      </c>
      <c r="U79" s="80">
        <f>S79+T79</f>
        <v>26558330.25</v>
      </c>
    </row>
    <row r="80" spans="1:21" s="17" customFormat="1" ht="25.5">
      <c r="A80" s="14" t="s">
        <v>221</v>
      </c>
      <c r="B80" s="15" t="s">
        <v>9</v>
      </c>
      <c r="C80" s="15" t="s">
        <v>12</v>
      </c>
      <c r="D80" s="15" t="s">
        <v>0</v>
      </c>
      <c r="E80" s="15" t="s">
        <v>0</v>
      </c>
      <c r="F80" s="15" t="s">
        <v>0</v>
      </c>
      <c r="G80" s="52">
        <f t="shared" ref="G80:U80" si="97">G81</f>
        <v>4625950.34</v>
      </c>
      <c r="H80" s="52">
        <f t="shared" si="97"/>
        <v>1997849</v>
      </c>
      <c r="I80" s="52">
        <f t="shared" si="97"/>
        <v>6623799.3399999999</v>
      </c>
      <c r="J80" s="52">
        <f t="shared" si="97"/>
        <v>-9103.41</v>
      </c>
      <c r="K80" s="52">
        <f t="shared" si="97"/>
        <v>6614695.9299999997</v>
      </c>
      <c r="L80" s="52">
        <f t="shared" si="97"/>
        <v>0</v>
      </c>
      <c r="M80" s="52">
        <f t="shared" si="97"/>
        <v>6614695.9299999997</v>
      </c>
      <c r="N80" s="52">
        <f t="shared" si="97"/>
        <v>4731025.83</v>
      </c>
      <c r="O80" s="52">
        <f t="shared" si="97"/>
        <v>0</v>
      </c>
      <c r="P80" s="52">
        <f t="shared" si="97"/>
        <v>4731025.83</v>
      </c>
      <c r="Q80" s="52">
        <f t="shared" si="97"/>
        <v>0</v>
      </c>
      <c r="R80" s="52">
        <f t="shared" si="97"/>
        <v>4731025.83</v>
      </c>
      <c r="S80" s="52">
        <f t="shared" si="97"/>
        <v>4734099.0200000005</v>
      </c>
      <c r="T80" s="52">
        <f t="shared" si="97"/>
        <v>0</v>
      </c>
      <c r="U80" s="52">
        <f t="shared" si="97"/>
        <v>4734099.0200000005</v>
      </c>
    </row>
    <row r="81" spans="1:21" s="17" customFormat="1" ht="25.5">
      <c r="A81" s="14" t="s">
        <v>76</v>
      </c>
      <c r="B81" s="15" t="s">
        <v>9</v>
      </c>
      <c r="C81" s="15" t="s">
        <v>12</v>
      </c>
      <c r="D81" s="15" t="s">
        <v>77</v>
      </c>
      <c r="E81" s="15" t="s">
        <v>0</v>
      </c>
      <c r="F81" s="15" t="s">
        <v>0</v>
      </c>
      <c r="G81" s="52">
        <f t="shared" ref="G81:U81" si="98">G94+G99+G82</f>
        <v>4625950.34</v>
      </c>
      <c r="H81" s="52">
        <f t="shared" si="98"/>
        <v>1997849</v>
      </c>
      <c r="I81" s="52">
        <f t="shared" si="98"/>
        <v>6623799.3399999999</v>
      </c>
      <c r="J81" s="52">
        <f t="shared" ref="J81:K81" si="99">J94+J99+J82</f>
        <v>-9103.41</v>
      </c>
      <c r="K81" s="52">
        <f t="shared" si="99"/>
        <v>6614695.9299999997</v>
      </c>
      <c r="L81" s="52">
        <f t="shared" ref="L81:M81" si="100">L94+L99+L82</f>
        <v>0</v>
      </c>
      <c r="M81" s="52">
        <f t="shared" si="100"/>
        <v>6614695.9299999997</v>
      </c>
      <c r="N81" s="52">
        <f t="shared" si="98"/>
        <v>4731025.83</v>
      </c>
      <c r="O81" s="52">
        <f t="shared" si="98"/>
        <v>0</v>
      </c>
      <c r="P81" s="52">
        <f t="shared" si="98"/>
        <v>4731025.83</v>
      </c>
      <c r="Q81" s="52">
        <f t="shared" ref="Q81:R81" si="101">Q94+Q99+Q82</f>
        <v>0</v>
      </c>
      <c r="R81" s="52">
        <f t="shared" si="101"/>
        <v>4731025.83</v>
      </c>
      <c r="S81" s="52">
        <f t="shared" si="98"/>
        <v>4734099.0200000005</v>
      </c>
      <c r="T81" s="52">
        <f t="shared" si="98"/>
        <v>0</v>
      </c>
      <c r="U81" s="52">
        <f t="shared" si="98"/>
        <v>4734099.0200000005</v>
      </c>
    </row>
    <row r="82" spans="1:21" s="17" customFormat="1">
      <c r="A82" s="63" t="s">
        <v>261</v>
      </c>
      <c r="B82" s="64" t="s">
        <v>9</v>
      </c>
      <c r="C82" s="64" t="s">
        <v>12</v>
      </c>
      <c r="D82" s="64" t="s">
        <v>77</v>
      </c>
      <c r="E82" s="64" t="s">
        <v>262</v>
      </c>
      <c r="F82" s="65"/>
      <c r="G82" s="52">
        <f t="shared" ref="G82:U82" si="102">G83+G87+G91</f>
        <v>1878723.69</v>
      </c>
      <c r="H82" s="52">
        <f t="shared" si="102"/>
        <v>81341.95</v>
      </c>
      <c r="I82" s="52">
        <f t="shared" si="102"/>
        <v>1960065.64</v>
      </c>
      <c r="J82" s="52">
        <f t="shared" ref="J82:K82" si="103">J83+J87+J91</f>
        <v>0</v>
      </c>
      <c r="K82" s="52">
        <f t="shared" si="103"/>
        <v>1960065.64</v>
      </c>
      <c r="L82" s="52">
        <f t="shared" ref="L82:M82" si="104">L83+L87+L91</f>
        <v>0</v>
      </c>
      <c r="M82" s="52">
        <f t="shared" si="104"/>
        <v>1960065.64</v>
      </c>
      <c r="N82" s="52">
        <f t="shared" si="102"/>
        <v>1901382.2</v>
      </c>
      <c r="O82" s="52">
        <f t="shared" si="102"/>
        <v>0</v>
      </c>
      <c r="P82" s="52">
        <f t="shared" si="102"/>
        <v>1901382.2</v>
      </c>
      <c r="Q82" s="52">
        <f t="shared" ref="Q82:R82" si="105">Q83+Q87+Q91</f>
        <v>0</v>
      </c>
      <c r="R82" s="52">
        <f t="shared" si="105"/>
        <v>1901382.2</v>
      </c>
      <c r="S82" s="52">
        <f t="shared" si="102"/>
        <v>1901382.2</v>
      </c>
      <c r="T82" s="52">
        <f t="shared" si="102"/>
        <v>0</v>
      </c>
      <c r="U82" s="52">
        <f t="shared" si="102"/>
        <v>1901382.2</v>
      </c>
    </row>
    <row r="83" spans="1:21" s="17" customFormat="1">
      <c r="A83" s="63" t="s">
        <v>263</v>
      </c>
      <c r="B83" s="64" t="s">
        <v>9</v>
      </c>
      <c r="C83" s="64" t="s">
        <v>12</v>
      </c>
      <c r="D83" s="64" t="s">
        <v>77</v>
      </c>
      <c r="E83" s="64" t="s">
        <v>264</v>
      </c>
      <c r="F83" s="65"/>
      <c r="G83" s="52">
        <f t="shared" ref="G83:U83" si="106">G84</f>
        <v>809192.84</v>
      </c>
      <c r="H83" s="52">
        <f t="shared" si="106"/>
        <v>35304</v>
      </c>
      <c r="I83" s="52">
        <f t="shared" si="106"/>
        <v>844496.84</v>
      </c>
      <c r="J83" s="52">
        <f t="shared" si="106"/>
        <v>0</v>
      </c>
      <c r="K83" s="52">
        <f t="shared" si="106"/>
        <v>844496.84</v>
      </c>
      <c r="L83" s="52">
        <f t="shared" si="106"/>
        <v>0</v>
      </c>
      <c r="M83" s="52">
        <f t="shared" si="106"/>
        <v>844496.84</v>
      </c>
      <c r="N83" s="52">
        <f t="shared" si="106"/>
        <v>829479.2</v>
      </c>
      <c r="O83" s="52">
        <f t="shared" si="106"/>
        <v>0</v>
      </c>
      <c r="P83" s="52">
        <f t="shared" si="106"/>
        <v>829479.2</v>
      </c>
      <c r="Q83" s="52">
        <f t="shared" si="106"/>
        <v>0</v>
      </c>
      <c r="R83" s="52">
        <f t="shared" si="106"/>
        <v>829479.2</v>
      </c>
      <c r="S83" s="52">
        <f t="shared" si="106"/>
        <v>829479.2</v>
      </c>
      <c r="T83" s="52">
        <f t="shared" si="106"/>
        <v>0</v>
      </c>
      <c r="U83" s="52">
        <f t="shared" si="106"/>
        <v>829479.2</v>
      </c>
    </row>
    <row r="84" spans="1:21" s="17" customFormat="1" ht="27">
      <c r="A84" s="66" t="s">
        <v>265</v>
      </c>
      <c r="B84" s="67" t="s">
        <v>9</v>
      </c>
      <c r="C84" s="67" t="s">
        <v>12</v>
      </c>
      <c r="D84" s="67" t="s">
        <v>77</v>
      </c>
      <c r="E84" s="67" t="s">
        <v>266</v>
      </c>
      <c r="F84" s="64"/>
      <c r="G84" s="52">
        <f t="shared" ref="G84:U84" si="107">G85+G86</f>
        <v>809192.84</v>
      </c>
      <c r="H84" s="52">
        <f t="shared" si="107"/>
        <v>35304</v>
      </c>
      <c r="I84" s="52">
        <f t="shared" si="107"/>
        <v>844496.84</v>
      </c>
      <c r="J84" s="52">
        <f t="shared" ref="J84:K84" si="108">J85+J86</f>
        <v>0</v>
      </c>
      <c r="K84" s="52">
        <f t="shared" si="108"/>
        <v>844496.84</v>
      </c>
      <c r="L84" s="52">
        <f t="shared" ref="L84:M84" si="109">L85+L86</f>
        <v>0</v>
      </c>
      <c r="M84" s="52">
        <f t="shared" si="109"/>
        <v>844496.84</v>
      </c>
      <c r="N84" s="52">
        <f t="shared" si="107"/>
        <v>829479.2</v>
      </c>
      <c r="O84" s="52">
        <f t="shared" si="107"/>
        <v>0</v>
      </c>
      <c r="P84" s="52">
        <f t="shared" si="107"/>
        <v>829479.2</v>
      </c>
      <c r="Q84" s="52">
        <f t="shared" ref="Q84:R84" si="110">Q85+Q86</f>
        <v>0</v>
      </c>
      <c r="R84" s="52">
        <f t="shared" si="110"/>
        <v>829479.2</v>
      </c>
      <c r="S84" s="52">
        <f t="shared" si="107"/>
        <v>829479.2</v>
      </c>
      <c r="T84" s="52">
        <f t="shared" si="107"/>
        <v>0</v>
      </c>
      <c r="U84" s="52">
        <f t="shared" si="107"/>
        <v>829479.2</v>
      </c>
    </row>
    <row r="85" spans="1:21" s="17" customFormat="1" ht="13.5">
      <c r="A85" s="68" t="s">
        <v>21</v>
      </c>
      <c r="B85" s="67" t="s">
        <v>9</v>
      </c>
      <c r="C85" s="67" t="s">
        <v>12</v>
      </c>
      <c r="D85" s="67" t="s">
        <v>77</v>
      </c>
      <c r="E85" s="69" t="s">
        <v>266</v>
      </c>
      <c r="F85" s="65">
        <v>200</v>
      </c>
      <c r="G85" s="75">
        <v>669192.84</v>
      </c>
      <c r="H85" s="75">
        <f>4800+30504</f>
        <v>35304</v>
      </c>
      <c r="I85" s="75">
        <f>G85+H85</f>
        <v>704496.84</v>
      </c>
      <c r="J85" s="75">
        <v>0</v>
      </c>
      <c r="K85" s="75">
        <f>I85+J85</f>
        <v>704496.84</v>
      </c>
      <c r="L85" s="75">
        <v>0</v>
      </c>
      <c r="M85" s="75">
        <f>K85+L85</f>
        <v>704496.84</v>
      </c>
      <c r="N85" s="75">
        <v>689479.2</v>
      </c>
      <c r="O85" s="75">
        <v>0</v>
      </c>
      <c r="P85" s="75">
        <f>N85+O85</f>
        <v>689479.2</v>
      </c>
      <c r="Q85" s="75">
        <v>0</v>
      </c>
      <c r="R85" s="75">
        <f>P85+Q85</f>
        <v>689479.2</v>
      </c>
      <c r="S85" s="75">
        <v>689479.2</v>
      </c>
      <c r="T85" s="75">
        <v>0</v>
      </c>
      <c r="U85" s="75">
        <f>S85+T85</f>
        <v>689479.2</v>
      </c>
    </row>
    <row r="86" spans="1:21" s="17" customFormat="1" ht="15" customHeight="1">
      <c r="A86" s="68" t="s">
        <v>267</v>
      </c>
      <c r="B86" s="67" t="s">
        <v>9</v>
      </c>
      <c r="C86" s="67" t="s">
        <v>12</v>
      </c>
      <c r="D86" s="67" t="s">
        <v>77</v>
      </c>
      <c r="E86" s="69" t="s">
        <v>266</v>
      </c>
      <c r="F86" s="65">
        <v>300</v>
      </c>
      <c r="G86" s="75">
        <v>140000</v>
      </c>
      <c r="H86" s="75">
        <v>0</v>
      </c>
      <c r="I86" s="75">
        <f>G86+H86</f>
        <v>140000</v>
      </c>
      <c r="J86" s="75">
        <v>0</v>
      </c>
      <c r="K86" s="75">
        <f>I86+J86</f>
        <v>140000</v>
      </c>
      <c r="L86" s="75">
        <v>0</v>
      </c>
      <c r="M86" s="75">
        <f>K86+L86</f>
        <v>140000</v>
      </c>
      <c r="N86" s="75">
        <v>140000</v>
      </c>
      <c r="O86" s="75">
        <v>0</v>
      </c>
      <c r="P86" s="75">
        <f>N86+O86</f>
        <v>140000</v>
      </c>
      <c r="Q86" s="75">
        <v>0</v>
      </c>
      <c r="R86" s="75">
        <f>P86+Q86</f>
        <v>140000</v>
      </c>
      <c r="S86" s="75">
        <v>140000</v>
      </c>
      <c r="T86" s="75">
        <v>0</v>
      </c>
      <c r="U86" s="75">
        <f>S86+T86</f>
        <v>140000</v>
      </c>
    </row>
    <row r="87" spans="1:21" s="17" customFormat="1" ht="13.5">
      <c r="A87" s="66" t="s">
        <v>268</v>
      </c>
      <c r="B87" s="64" t="s">
        <v>9</v>
      </c>
      <c r="C87" s="64" t="s">
        <v>12</v>
      </c>
      <c r="D87" s="64" t="s">
        <v>77</v>
      </c>
      <c r="E87" s="64" t="s">
        <v>269</v>
      </c>
      <c r="F87" s="65"/>
      <c r="G87" s="52">
        <f t="shared" ref="G87:U87" si="111">G88</f>
        <v>374530.85</v>
      </c>
      <c r="H87" s="52">
        <f t="shared" si="111"/>
        <v>0</v>
      </c>
      <c r="I87" s="52">
        <f t="shared" si="111"/>
        <v>374530.85</v>
      </c>
      <c r="J87" s="52">
        <f t="shared" si="111"/>
        <v>0</v>
      </c>
      <c r="K87" s="52">
        <f t="shared" si="111"/>
        <v>374530.85</v>
      </c>
      <c r="L87" s="52">
        <f t="shared" si="111"/>
        <v>0</v>
      </c>
      <c r="M87" s="52">
        <f t="shared" si="111"/>
        <v>374530.85</v>
      </c>
      <c r="N87" s="52">
        <f t="shared" si="111"/>
        <v>376903</v>
      </c>
      <c r="O87" s="52">
        <f t="shared" si="111"/>
        <v>0</v>
      </c>
      <c r="P87" s="52">
        <f t="shared" si="111"/>
        <v>376903</v>
      </c>
      <c r="Q87" s="52">
        <f t="shared" si="111"/>
        <v>0</v>
      </c>
      <c r="R87" s="52">
        <f t="shared" si="111"/>
        <v>376903</v>
      </c>
      <c r="S87" s="52">
        <f t="shared" si="111"/>
        <v>376903</v>
      </c>
      <c r="T87" s="52">
        <f t="shared" si="111"/>
        <v>0</v>
      </c>
      <c r="U87" s="52">
        <f t="shared" si="111"/>
        <v>376903</v>
      </c>
    </row>
    <row r="88" spans="1:21" s="17" customFormat="1" ht="27">
      <c r="A88" s="66" t="s">
        <v>270</v>
      </c>
      <c r="B88" s="67" t="s">
        <v>9</v>
      </c>
      <c r="C88" s="67" t="s">
        <v>12</v>
      </c>
      <c r="D88" s="67" t="s">
        <v>77</v>
      </c>
      <c r="E88" s="67" t="s">
        <v>271</v>
      </c>
      <c r="F88" s="67"/>
      <c r="G88" s="33">
        <f t="shared" ref="G88:U88" si="112">G89+G90</f>
        <v>374530.85</v>
      </c>
      <c r="H88" s="33">
        <f t="shared" si="112"/>
        <v>0</v>
      </c>
      <c r="I88" s="33">
        <f t="shared" si="112"/>
        <v>374530.85</v>
      </c>
      <c r="J88" s="33">
        <f t="shared" ref="J88:K88" si="113">J89+J90</f>
        <v>0</v>
      </c>
      <c r="K88" s="33">
        <f t="shared" si="113"/>
        <v>374530.85</v>
      </c>
      <c r="L88" s="33">
        <f t="shared" ref="L88:M88" si="114">L89+L90</f>
        <v>0</v>
      </c>
      <c r="M88" s="33">
        <f t="shared" si="114"/>
        <v>374530.85</v>
      </c>
      <c r="N88" s="33">
        <f t="shared" si="112"/>
        <v>376903</v>
      </c>
      <c r="O88" s="33">
        <f t="shared" si="112"/>
        <v>0</v>
      </c>
      <c r="P88" s="33">
        <f t="shared" si="112"/>
        <v>376903</v>
      </c>
      <c r="Q88" s="33">
        <f t="shared" ref="Q88:R88" si="115">Q89+Q90</f>
        <v>0</v>
      </c>
      <c r="R88" s="33">
        <f t="shared" si="115"/>
        <v>376903</v>
      </c>
      <c r="S88" s="33">
        <f t="shared" si="112"/>
        <v>376903</v>
      </c>
      <c r="T88" s="33">
        <f t="shared" si="112"/>
        <v>0</v>
      </c>
      <c r="U88" s="33">
        <f t="shared" si="112"/>
        <v>376903</v>
      </c>
    </row>
    <row r="89" spans="1:21" s="17" customFormat="1">
      <c r="A89" s="68" t="s">
        <v>21</v>
      </c>
      <c r="B89" s="65">
        <v>801</v>
      </c>
      <c r="C89" s="69" t="s">
        <v>12</v>
      </c>
      <c r="D89" s="69" t="s">
        <v>77</v>
      </c>
      <c r="E89" s="69" t="s">
        <v>271</v>
      </c>
      <c r="F89" s="65">
        <v>200</v>
      </c>
      <c r="G89" s="75">
        <v>274880.84999999998</v>
      </c>
      <c r="H89" s="75">
        <v>0</v>
      </c>
      <c r="I89" s="75">
        <f>G89+H89</f>
        <v>274880.84999999998</v>
      </c>
      <c r="J89" s="75">
        <v>0</v>
      </c>
      <c r="K89" s="75">
        <f>I89+J89</f>
        <v>274880.84999999998</v>
      </c>
      <c r="L89" s="75">
        <v>0</v>
      </c>
      <c r="M89" s="75">
        <f>K89+L89</f>
        <v>274880.84999999998</v>
      </c>
      <c r="N89" s="75">
        <v>273665.59999999998</v>
      </c>
      <c r="O89" s="75">
        <v>0</v>
      </c>
      <c r="P89" s="75">
        <f>N89+O89</f>
        <v>273665.59999999998</v>
      </c>
      <c r="Q89" s="75">
        <v>0</v>
      </c>
      <c r="R89" s="75">
        <f>P89+Q89</f>
        <v>273665.59999999998</v>
      </c>
      <c r="S89" s="75">
        <v>273665.59999999998</v>
      </c>
      <c r="T89" s="75">
        <v>0</v>
      </c>
      <c r="U89" s="75">
        <f>S89+T89</f>
        <v>273665.59999999998</v>
      </c>
    </row>
    <row r="90" spans="1:21" s="17" customFormat="1" ht="15" customHeight="1">
      <c r="A90" s="68" t="s">
        <v>267</v>
      </c>
      <c r="B90" s="65">
        <v>801</v>
      </c>
      <c r="C90" s="69" t="s">
        <v>12</v>
      </c>
      <c r="D90" s="69" t="s">
        <v>77</v>
      </c>
      <c r="E90" s="69" t="s">
        <v>271</v>
      </c>
      <c r="F90" s="65">
        <v>300</v>
      </c>
      <c r="G90" s="75">
        <v>99650</v>
      </c>
      <c r="H90" s="75">
        <v>0</v>
      </c>
      <c r="I90" s="75">
        <f>G90+H90</f>
        <v>99650</v>
      </c>
      <c r="J90" s="75">
        <v>0</v>
      </c>
      <c r="K90" s="75">
        <f>I90+J90</f>
        <v>99650</v>
      </c>
      <c r="L90" s="75">
        <v>0</v>
      </c>
      <c r="M90" s="75">
        <f>K90+L90</f>
        <v>99650</v>
      </c>
      <c r="N90" s="75">
        <v>103237.4</v>
      </c>
      <c r="O90" s="75">
        <v>0</v>
      </c>
      <c r="P90" s="75">
        <f>N90+O90</f>
        <v>103237.4</v>
      </c>
      <c r="Q90" s="75">
        <v>0</v>
      </c>
      <c r="R90" s="75">
        <f>P90+Q90</f>
        <v>103237.4</v>
      </c>
      <c r="S90" s="75">
        <v>103237.4</v>
      </c>
      <c r="T90" s="75">
        <v>0</v>
      </c>
      <c r="U90" s="75">
        <f>S90+T90</f>
        <v>103237.4</v>
      </c>
    </row>
    <row r="91" spans="1:21" s="17" customFormat="1" ht="15" customHeight="1">
      <c r="A91" s="70" t="s">
        <v>279</v>
      </c>
      <c r="B91" s="64" t="s">
        <v>9</v>
      </c>
      <c r="C91" s="64" t="s">
        <v>12</v>
      </c>
      <c r="D91" s="64" t="s">
        <v>77</v>
      </c>
      <c r="E91" s="64" t="s">
        <v>277</v>
      </c>
      <c r="F91" s="65"/>
      <c r="G91" s="52">
        <f t="shared" ref="G91:U92" si="116">G92</f>
        <v>695000</v>
      </c>
      <c r="H91" s="52">
        <f t="shared" si="116"/>
        <v>46037.95</v>
      </c>
      <c r="I91" s="52">
        <f t="shared" si="116"/>
        <v>741037.95</v>
      </c>
      <c r="J91" s="52">
        <f t="shared" si="116"/>
        <v>0</v>
      </c>
      <c r="K91" s="52">
        <f t="shared" si="116"/>
        <v>741037.95</v>
      </c>
      <c r="L91" s="52">
        <f t="shared" si="116"/>
        <v>0</v>
      </c>
      <c r="M91" s="52">
        <f t="shared" si="116"/>
        <v>741037.95</v>
      </c>
      <c r="N91" s="52">
        <f t="shared" si="116"/>
        <v>695000</v>
      </c>
      <c r="O91" s="52">
        <f t="shared" si="116"/>
        <v>0</v>
      </c>
      <c r="P91" s="52">
        <f t="shared" si="116"/>
        <v>695000</v>
      </c>
      <c r="Q91" s="52">
        <f t="shared" si="116"/>
        <v>0</v>
      </c>
      <c r="R91" s="52">
        <f t="shared" si="116"/>
        <v>695000</v>
      </c>
      <c r="S91" s="52">
        <f t="shared" si="116"/>
        <v>695000</v>
      </c>
      <c r="T91" s="52">
        <f t="shared" si="116"/>
        <v>0</v>
      </c>
      <c r="U91" s="52">
        <f t="shared" si="116"/>
        <v>695000</v>
      </c>
    </row>
    <row r="92" spans="1:21" s="17" customFormat="1" ht="15" customHeight="1">
      <c r="A92" s="66" t="s">
        <v>280</v>
      </c>
      <c r="B92" s="67" t="s">
        <v>9</v>
      </c>
      <c r="C92" s="67" t="s">
        <v>12</v>
      </c>
      <c r="D92" s="67" t="s">
        <v>77</v>
      </c>
      <c r="E92" s="67" t="s">
        <v>278</v>
      </c>
      <c r="F92" s="67"/>
      <c r="G92" s="33">
        <f t="shared" si="116"/>
        <v>695000</v>
      </c>
      <c r="H92" s="33">
        <f t="shared" si="116"/>
        <v>46037.95</v>
      </c>
      <c r="I92" s="33">
        <f t="shared" si="116"/>
        <v>741037.95</v>
      </c>
      <c r="J92" s="33">
        <f t="shared" si="116"/>
        <v>0</v>
      </c>
      <c r="K92" s="33">
        <f t="shared" si="116"/>
        <v>741037.95</v>
      </c>
      <c r="L92" s="33">
        <f t="shared" si="116"/>
        <v>0</v>
      </c>
      <c r="M92" s="33">
        <f t="shared" si="116"/>
        <v>741037.95</v>
      </c>
      <c r="N92" s="33">
        <f t="shared" si="116"/>
        <v>695000</v>
      </c>
      <c r="O92" s="33">
        <f t="shared" si="116"/>
        <v>0</v>
      </c>
      <c r="P92" s="33">
        <f t="shared" si="116"/>
        <v>695000</v>
      </c>
      <c r="Q92" s="33">
        <f t="shared" si="116"/>
        <v>0</v>
      </c>
      <c r="R92" s="33">
        <f t="shared" si="116"/>
        <v>695000</v>
      </c>
      <c r="S92" s="33">
        <f t="shared" si="116"/>
        <v>695000</v>
      </c>
      <c r="T92" s="33">
        <f t="shared" si="116"/>
        <v>0</v>
      </c>
      <c r="U92" s="33">
        <f t="shared" si="116"/>
        <v>695000</v>
      </c>
    </row>
    <row r="93" spans="1:21" s="17" customFormat="1" ht="15" customHeight="1">
      <c r="A93" s="21" t="s">
        <v>21</v>
      </c>
      <c r="B93" s="65">
        <v>801</v>
      </c>
      <c r="C93" s="65" t="s">
        <v>12</v>
      </c>
      <c r="D93" s="65" t="s">
        <v>77</v>
      </c>
      <c r="E93" s="65" t="s">
        <v>278</v>
      </c>
      <c r="F93" s="65">
        <v>200</v>
      </c>
      <c r="G93" s="75">
        <f>660000+35000</f>
        <v>695000</v>
      </c>
      <c r="H93" s="75">
        <v>46037.95</v>
      </c>
      <c r="I93" s="75">
        <f>G93+H93</f>
        <v>741037.95</v>
      </c>
      <c r="J93" s="75">
        <v>0</v>
      </c>
      <c r="K93" s="75">
        <f>I93+J93</f>
        <v>741037.95</v>
      </c>
      <c r="L93" s="75">
        <v>0</v>
      </c>
      <c r="M93" s="75">
        <f>K93+L93</f>
        <v>741037.95</v>
      </c>
      <c r="N93" s="75">
        <f>660000+35000</f>
        <v>695000</v>
      </c>
      <c r="O93" s="75">
        <v>0</v>
      </c>
      <c r="P93" s="75">
        <f>N93+O93</f>
        <v>695000</v>
      </c>
      <c r="Q93" s="75">
        <v>0</v>
      </c>
      <c r="R93" s="75">
        <f>P93+Q93</f>
        <v>695000</v>
      </c>
      <c r="S93" s="75">
        <f>660000+35000</f>
        <v>695000</v>
      </c>
      <c r="T93" s="75">
        <v>0</v>
      </c>
      <c r="U93" s="75">
        <f>S93+T93</f>
        <v>695000</v>
      </c>
    </row>
    <row r="94" spans="1:21" s="17" customFormat="1" ht="25.5">
      <c r="A94" s="14" t="s">
        <v>78</v>
      </c>
      <c r="B94" s="15" t="s">
        <v>9</v>
      </c>
      <c r="C94" s="40" t="s">
        <v>12</v>
      </c>
      <c r="D94" s="40" t="s">
        <v>77</v>
      </c>
      <c r="E94" s="15" t="s">
        <v>79</v>
      </c>
      <c r="F94" s="15" t="s">
        <v>0</v>
      </c>
      <c r="G94" s="52">
        <f t="shared" ref="G94:U95" si="117">G95</f>
        <v>2647770.65</v>
      </c>
      <c r="H94" s="52">
        <f t="shared" si="117"/>
        <v>1916507.05</v>
      </c>
      <c r="I94" s="52">
        <f t="shared" si="117"/>
        <v>4564277.7</v>
      </c>
      <c r="J94" s="52">
        <f t="shared" si="117"/>
        <v>-9103.41</v>
      </c>
      <c r="K94" s="52">
        <f t="shared" si="117"/>
        <v>4555174.29</v>
      </c>
      <c r="L94" s="52">
        <f t="shared" si="117"/>
        <v>0</v>
      </c>
      <c r="M94" s="52">
        <f t="shared" si="117"/>
        <v>4555174.29</v>
      </c>
      <c r="N94" s="52">
        <f t="shared" si="117"/>
        <v>2727203.95</v>
      </c>
      <c r="O94" s="52">
        <f t="shared" si="117"/>
        <v>0</v>
      </c>
      <c r="P94" s="52">
        <f t="shared" si="117"/>
        <v>2727203.95</v>
      </c>
      <c r="Q94" s="52">
        <f t="shared" si="117"/>
        <v>0</v>
      </c>
      <c r="R94" s="52">
        <f t="shared" si="117"/>
        <v>2727203.95</v>
      </c>
      <c r="S94" s="52">
        <f t="shared" si="117"/>
        <v>2727203.95</v>
      </c>
      <c r="T94" s="52">
        <f t="shared" si="117"/>
        <v>0</v>
      </c>
      <c r="U94" s="52">
        <f t="shared" si="117"/>
        <v>2727203.95</v>
      </c>
    </row>
    <row r="95" spans="1:21" s="17" customFormat="1" ht="25.5">
      <c r="A95" s="14" t="s">
        <v>80</v>
      </c>
      <c r="B95" s="15" t="s">
        <v>9</v>
      </c>
      <c r="C95" s="15" t="s">
        <v>12</v>
      </c>
      <c r="D95" s="15" t="s">
        <v>77</v>
      </c>
      <c r="E95" s="15" t="s">
        <v>81</v>
      </c>
      <c r="F95" s="15" t="s">
        <v>0</v>
      </c>
      <c r="G95" s="52">
        <f t="shared" si="117"/>
        <v>2647770.65</v>
      </c>
      <c r="H95" s="52">
        <f t="shared" si="117"/>
        <v>1916507.05</v>
      </c>
      <c r="I95" s="52">
        <f t="shared" si="117"/>
        <v>4564277.7</v>
      </c>
      <c r="J95" s="52">
        <f t="shared" si="117"/>
        <v>-9103.41</v>
      </c>
      <c r="K95" s="52">
        <f t="shared" si="117"/>
        <v>4555174.29</v>
      </c>
      <c r="L95" s="52">
        <f t="shared" si="117"/>
        <v>0</v>
      </c>
      <c r="M95" s="52">
        <f t="shared" si="117"/>
        <v>4555174.29</v>
      </c>
      <c r="N95" s="52">
        <f t="shared" si="117"/>
        <v>2727203.95</v>
      </c>
      <c r="O95" s="52">
        <f t="shared" si="117"/>
        <v>0</v>
      </c>
      <c r="P95" s="52">
        <f t="shared" si="117"/>
        <v>2727203.95</v>
      </c>
      <c r="Q95" s="52">
        <f t="shared" si="117"/>
        <v>0</v>
      </c>
      <c r="R95" s="52">
        <f t="shared" si="117"/>
        <v>2727203.95</v>
      </c>
      <c r="S95" s="52">
        <f t="shared" si="117"/>
        <v>2727203.95</v>
      </c>
      <c r="T95" s="52">
        <f t="shared" si="117"/>
        <v>0</v>
      </c>
      <c r="U95" s="52">
        <f t="shared" si="117"/>
        <v>2727203.95</v>
      </c>
    </row>
    <row r="96" spans="1:21" s="17" customFormat="1" ht="27">
      <c r="A96" s="18" t="s">
        <v>82</v>
      </c>
      <c r="B96" s="19" t="s">
        <v>9</v>
      </c>
      <c r="C96" s="19" t="s">
        <v>12</v>
      </c>
      <c r="D96" s="19" t="s">
        <v>77</v>
      </c>
      <c r="E96" s="19" t="s">
        <v>83</v>
      </c>
      <c r="F96" s="19" t="s">
        <v>0</v>
      </c>
      <c r="G96" s="33">
        <f t="shared" ref="G96:U96" si="118">G97+G98</f>
        <v>2647770.65</v>
      </c>
      <c r="H96" s="33">
        <f t="shared" si="118"/>
        <v>1916507.05</v>
      </c>
      <c r="I96" s="33">
        <f t="shared" si="118"/>
        <v>4564277.7</v>
      </c>
      <c r="J96" s="33">
        <f t="shared" ref="J96:K96" si="119">J97+J98</f>
        <v>-9103.41</v>
      </c>
      <c r="K96" s="33">
        <f t="shared" si="119"/>
        <v>4555174.29</v>
      </c>
      <c r="L96" s="33">
        <f t="shared" ref="L96:M96" si="120">L97+L98</f>
        <v>0</v>
      </c>
      <c r="M96" s="33">
        <f t="shared" si="120"/>
        <v>4555174.29</v>
      </c>
      <c r="N96" s="33">
        <f t="shared" si="118"/>
        <v>2727203.95</v>
      </c>
      <c r="O96" s="33">
        <f t="shared" si="118"/>
        <v>0</v>
      </c>
      <c r="P96" s="33">
        <f t="shared" si="118"/>
        <v>2727203.95</v>
      </c>
      <c r="Q96" s="33">
        <f t="shared" ref="Q96:R96" si="121">Q97+Q98</f>
        <v>0</v>
      </c>
      <c r="R96" s="33">
        <f t="shared" si="121"/>
        <v>2727203.95</v>
      </c>
      <c r="S96" s="33">
        <f t="shared" si="118"/>
        <v>2727203.95</v>
      </c>
      <c r="T96" s="33">
        <f t="shared" si="118"/>
        <v>0</v>
      </c>
      <c r="U96" s="33">
        <f t="shared" si="118"/>
        <v>2727203.95</v>
      </c>
    </row>
    <row r="97" spans="1:21" s="17" customFormat="1">
      <c r="A97" s="21" t="s">
        <v>21</v>
      </c>
      <c r="B97" s="22" t="s">
        <v>9</v>
      </c>
      <c r="C97" s="22" t="s">
        <v>12</v>
      </c>
      <c r="D97" s="22" t="s">
        <v>77</v>
      </c>
      <c r="E97" s="22" t="s">
        <v>83</v>
      </c>
      <c r="F97" s="22" t="s">
        <v>22</v>
      </c>
      <c r="G97" s="46">
        <v>2411231.65</v>
      </c>
      <c r="H97" s="46">
        <f>1820681.7+95825.35</f>
        <v>1916507.05</v>
      </c>
      <c r="I97" s="46">
        <f>G97+H97</f>
        <v>4327738.7</v>
      </c>
      <c r="J97" s="46">
        <v>-9103.41</v>
      </c>
      <c r="K97" s="46">
        <f>I97+J97</f>
        <v>4318635.29</v>
      </c>
      <c r="L97" s="46">
        <v>0</v>
      </c>
      <c r="M97" s="46">
        <f>K97+L97</f>
        <v>4318635.29</v>
      </c>
      <c r="N97" s="46">
        <v>2395908.9500000002</v>
      </c>
      <c r="O97" s="46">
        <v>0</v>
      </c>
      <c r="P97" s="46">
        <f>N97+O97</f>
        <v>2395908.9500000002</v>
      </c>
      <c r="Q97" s="46">
        <v>0</v>
      </c>
      <c r="R97" s="46">
        <f>P97+Q97</f>
        <v>2395908.9500000002</v>
      </c>
      <c r="S97" s="46">
        <v>2395908.9500000002</v>
      </c>
      <c r="T97" s="46">
        <v>0</v>
      </c>
      <c r="U97" s="46">
        <f>S97+T97</f>
        <v>2395908.9500000002</v>
      </c>
    </row>
    <row r="98" spans="1:21" s="17" customFormat="1">
      <c r="A98" s="21" t="s">
        <v>72</v>
      </c>
      <c r="B98" s="22" t="s">
        <v>9</v>
      </c>
      <c r="C98" s="22" t="s">
        <v>12</v>
      </c>
      <c r="D98" s="22" t="s">
        <v>77</v>
      </c>
      <c r="E98" s="22" t="s">
        <v>83</v>
      </c>
      <c r="F98" s="22">
        <v>300</v>
      </c>
      <c r="G98" s="46">
        <v>236539</v>
      </c>
      <c r="H98" s="46">
        <v>0</v>
      </c>
      <c r="I98" s="46">
        <f>G98+H98</f>
        <v>236539</v>
      </c>
      <c r="J98" s="46">
        <v>0</v>
      </c>
      <c r="K98" s="46">
        <f>I98+J98</f>
        <v>236539</v>
      </c>
      <c r="L98" s="46">
        <v>0</v>
      </c>
      <c r="M98" s="46">
        <f>K98+L98</f>
        <v>236539</v>
      </c>
      <c r="N98" s="46">
        <v>331295</v>
      </c>
      <c r="O98" s="46">
        <v>0</v>
      </c>
      <c r="P98" s="46">
        <f>N98+O98</f>
        <v>331295</v>
      </c>
      <c r="Q98" s="46">
        <v>0</v>
      </c>
      <c r="R98" s="46">
        <f>P98+Q98</f>
        <v>331295</v>
      </c>
      <c r="S98" s="46">
        <v>331295</v>
      </c>
      <c r="T98" s="46">
        <v>0</v>
      </c>
      <c r="U98" s="46">
        <f>S98+T98</f>
        <v>331295</v>
      </c>
    </row>
    <row r="99" spans="1:21" s="17" customFormat="1">
      <c r="A99" s="14" t="s">
        <v>13</v>
      </c>
      <c r="B99" s="15" t="s">
        <v>9</v>
      </c>
      <c r="C99" s="15" t="s">
        <v>12</v>
      </c>
      <c r="D99" s="15" t="s">
        <v>77</v>
      </c>
      <c r="E99" s="15" t="s">
        <v>14</v>
      </c>
      <c r="F99" s="15" t="s">
        <v>0</v>
      </c>
      <c r="G99" s="52">
        <f t="shared" ref="G99:U99" si="122">G100</f>
        <v>99456</v>
      </c>
      <c r="H99" s="52">
        <f t="shared" si="122"/>
        <v>0</v>
      </c>
      <c r="I99" s="52">
        <f t="shared" si="122"/>
        <v>99456</v>
      </c>
      <c r="J99" s="52">
        <f t="shared" si="122"/>
        <v>0</v>
      </c>
      <c r="K99" s="52">
        <f t="shared" si="122"/>
        <v>99456</v>
      </c>
      <c r="L99" s="52">
        <f t="shared" si="122"/>
        <v>0</v>
      </c>
      <c r="M99" s="52">
        <f t="shared" si="122"/>
        <v>99456</v>
      </c>
      <c r="N99" s="52">
        <f t="shared" si="122"/>
        <v>102439.67999999999</v>
      </c>
      <c r="O99" s="52">
        <f t="shared" si="122"/>
        <v>0</v>
      </c>
      <c r="P99" s="52">
        <f t="shared" si="122"/>
        <v>102439.67999999999</v>
      </c>
      <c r="Q99" s="52">
        <f t="shared" si="122"/>
        <v>0</v>
      </c>
      <c r="R99" s="52">
        <f t="shared" si="122"/>
        <v>102439.67999999999</v>
      </c>
      <c r="S99" s="52">
        <f t="shared" si="122"/>
        <v>105512.87</v>
      </c>
      <c r="T99" s="52">
        <f t="shared" si="122"/>
        <v>0</v>
      </c>
      <c r="U99" s="52">
        <f t="shared" si="122"/>
        <v>105512.87</v>
      </c>
    </row>
    <row r="100" spans="1:21" s="17" customFormat="1">
      <c r="A100" s="14" t="s">
        <v>44</v>
      </c>
      <c r="B100" s="15" t="s">
        <v>9</v>
      </c>
      <c r="C100" s="15" t="s">
        <v>12</v>
      </c>
      <c r="D100" s="15" t="s">
        <v>77</v>
      </c>
      <c r="E100" s="15" t="s">
        <v>45</v>
      </c>
      <c r="F100" s="15" t="s">
        <v>0</v>
      </c>
      <c r="G100" s="52">
        <f t="shared" ref="G100:U100" si="123">G101+G105+G109</f>
        <v>99456</v>
      </c>
      <c r="H100" s="52">
        <f t="shared" si="123"/>
        <v>0</v>
      </c>
      <c r="I100" s="52">
        <f t="shared" si="123"/>
        <v>99456</v>
      </c>
      <c r="J100" s="52">
        <f t="shared" ref="J100:K100" si="124">J101+J105+J109</f>
        <v>0</v>
      </c>
      <c r="K100" s="52">
        <f t="shared" si="124"/>
        <v>99456</v>
      </c>
      <c r="L100" s="52">
        <f t="shared" ref="L100:M100" si="125">L101+L105+L109</f>
        <v>0</v>
      </c>
      <c r="M100" s="52">
        <f t="shared" si="125"/>
        <v>99456</v>
      </c>
      <c r="N100" s="52">
        <f t="shared" si="123"/>
        <v>102439.67999999999</v>
      </c>
      <c r="O100" s="52">
        <f t="shared" si="123"/>
        <v>0</v>
      </c>
      <c r="P100" s="52">
        <f t="shared" si="123"/>
        <v>102439.67999999999</v>
      </c>
      <c r="Q100" s="52">
        <f t="shared" ref="Q100:R100" si="126">Q101+Q105+Q109</f>
        <v>0</v>
      </c>
      <c r="R100" s="52">
        <f t="shared" si="126"/>
        <v>102439.67999999999</v>
      </c>
      <c r="S100" s="52">
        <f t="shared" si="123"/>
        <v>105512.87</v>
      </c>
      <c r="T100" s="52">
        <f t="shared" si="123"/>
        <v>0</v>
      </c>
      <c r="U100" s="52">
        <f t="shared" si="123"/>
        <v>105512.87</v>
      </c>
    </row>
    <row r="101" spans="1:21" s="17" customFormat="1" ht="27" hidden="1" outlineLevel="1">
      <c r="A101" s="18" t="s">
        <v>84</v>
      </c>
      <c r="B101" s="19" t="s">
        <v>9</v>
      </c>
      <c r="C101" s="19" t="s">
        <v>12</v>
      </c>
      <c r="D101" s="19" t="s">
        <v>77</v>
      </c>
      <c r="E101" s="19" t="s">
        <v>85</v>
      </c>
      <c r="F101" s="19" t="s">
        <v>0</v>
      </c>
      <c r="G101" s="33">
        <f t="shared" ref="G101:U101" si="127">G102+G103+G104</f>
        <v>0</v>
      </c>
      <c r="H101" s="33">
        <f t="shared" si="127"/>
        <v>0</v>
      </c>
      <c r="I101" s="33">
        <f t="shared" si="127"/>
        <v>0</v>
      </c>
      <c r="J101" s="33">
        <f t="shared" ref="J101:K101" si="128">J102+J103+J104</f>
        <v>0</v>
      </c>
      <c r="K101" s="33">
        <f t="shared" si="128"/>
        <v>0</v>
      </c>
      <c r="L101" s="33">
        <f t="shared" ref="L101:M101" si="129">L102+L103+L104</f>
        <v>0</v>
      </c>
      <c r="M101" s="33">
        <f t="shared" si="129"/>
        <v>0</v>
      </c>
      <c r="N101" s="33">
        <f t="shared" si="127"/>
        <v>0</v>
      </c>
      <c r="O101" s="33">
        <f t="shared" si="127"/>
        <v>0</v>
      </c>
      <c r="P101" s="33">
        <f t="shared" si="127"/>
        <v>0</v>
      </c>
      <c r="Q101" s="33">
        <f t="shared" ref="Q101:R101" si="130">Q102+Q103+Q104</f>
        <v>0</v>
      </c>
      <c r="R101" s="33">
        <f t="shared" si="130"/>
        <v>0</v>
      </c>
      <c r="S101" s="33">
        <f t="shared" si="127"/>
        <v>0</v>
      </c>
      <c r="T101" s="33">
        <f t="shared" si="127"/>
        <v>0</v>
      </c>
      <c r="U101" s="33">
        <f t="shared" si="127"/>
        <v>0</v>
      </c>
    </row>
    <row r="102" spans="1:21" s="17" customFormat="1" hidden="1" outlineLevel="1">
      <c r="A102" s="21" t="s">
        <v>21</v>
      </c>
      <c r="B102" s="22" t="s">
        <v>9</v>
      </c>
      <c r="C102" s="22" t="s">
        <v>12</v>
      </c>
      <c r="D102" s="22" t="s">
        <v>77</v>
      </c>
      <c r="E102" s="22" t="s">
        <v>85</v>
      </c>
      <c r="F102" s="22" t="s">
        <v>22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</row>
    <row r="103" spans="1:21" s="17" customFormat="1" hidden="1" outlineLevel="1">
      <c r="A103" s="21" t="s">
        <v>72</v>
      </c>
      <c r="B103" s="22" t="s">
        <v>9</v>
      </c>
      <c r="C103" s="22" t="s">
        <v>12</v>
      </c>
      <c r="D103" s="22" t="s">
        <v>77</v>
      </c>
      <c r="E103" s="22" t="s">
        <v>85</v>
      </c>
      <c r="F103" s="22" t="s">
        <v>73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</row>
    <row r="104" spans="1:21" s="17" customFormat="1" hidden="1" outlineLevel="1">
      <c r="A104" s="21" t="s">
        <v>86</v>
      </c>
      <c r="B104" s="22" t="s">
        <v>9</v>
      </c>
      <c r="C104" s="22" t="s">
        <v>12</v>
      </c>
      <c r="D104" s="22" t="s">
        <v>77</v>
      </c>
      <c r="E104" s="22" t="s">
        <v>85</v>
      </c>
      <c r="F104" s="22" t="s">
        <v>87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</row>
    <row r="105" spans="1:21" s="17" customFormat="1" ht="13.5" hidden="1" outlineLevel="1">
      <c r="A105" s="18" t="s">
        <v>88</v>
      </c>
      <c r="B105" s="19" t="s">
        <v>9</v>
      </c>
      <c r="C105" s="19" t="s">
        <v>12</v>
      </c>
      <c r="D105" s="19" t="s">
        <v>77</v>
      </c>
      <c r="E105" s="19" t="s">
        <v>89</v>
      </c>
      <c r="F105" s="19" t="s">
        <v>0</v>
      </c>
      <c r="G105" s="33">
        <f t="shared" ref="G105:U105" si="131">G106+G107+G108</f>
        <v>0</v>
      </c>
      <c r="H105" s="33">
        <f t="shared" si="131"/>
        <v>0</v>
      </c>
      <c r="I105" s="33">
        <f t="shared" si="131"/>
        <v>0</v>
      </c>
      <c r="J105" s="33">
        <f t="shared" ref="J105:K105" si="132">J106+J107+J108</f>
        <v>0</v>
      </c>
      <c r="K105" s="33">
        <f t="shared" si="132"/>
        <v>0</v>
      </c>
      <c r="L105" s="33">
        <f t="shared" ref="L105:M105" si="133">L106+L107+L108</f>
        <v>0</v>
      </c>
      <c r="M105" s="33">
        <f t="shared" si="133"/>
        <v>0</v>
      </c>
      <c r="N105" s="33">
        <f t="shared" si="131"/>
        <v>0</v>
      </c>
      <c r="O105" s="33">
        <f t="shared" si="131"/>
        <v>0</v>
      </c>
      <c r="P105" s="33">
        <f t="shared" si="131"/>
        <v>0</v>
      </c>
      <c r="Q105" s="33">
        <f t="shared" ref="Q105:R105" si="134">Q106+Q107+Q108</f>
        <v>0</v>
      </c>
      <c r="R105" s="33">
        <f t="shared" si="134"/>
        <v>0</v>
      </c>
      <c r="S105" s="33">
        <f t="shared" si="131"/>
        <v>0</v>
      </c>
      <c r="T105" s="33">
        <f t="shared" si="131"/>
        <v>0</v>
      </c>
      <c r="U105" s="33">
        <f t="shared" si="131"/>
        <v>0</v>
      </c>
    </row>
    <row r="106" spans="1:21" s="17" customFormat="1" hidden="1" outlineLevel="1">
      <c r="A106" s="21" t="s">
        <v>19</v>
      </c>
      <c r="B106" s="22" t="s">
        <v>9</v>
      </c>
      <c r="C106" s="22" t="s">
        <v>12</v>
      </c>
      <c r="D106" s="22" t="s">
        <v>77</v>
      </c>
      <c r="E106" s="22" t="s">
        <v>89</v>
      </c>
      <c r="F106" s="22" t="s">
        <v>20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</row>
    <row r="107" spans="1:21" s="17" customFormat="1" hidden="1" outlineLevel="1">
      <c r="A107" s="21" t="s">
        <v>21</v>
      </c>
      <c r="B107" s="22" t="s">
        <v>9</v>
      </c>
      <c r="C107" s="22" t="s">
        <v>12</v>
      </c>
      <c r="D107" s="22" t="s">
        <v>77</v>
      </c>
      <c r="E107" s="22" t="s">
        <v>89</v>
      </c>
      <c r="F107" s="22" t="s">
        <v>22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</row>
    <row r="108" spans="1:21" s="17" customFormat="1" hidden="1" outlineLevel="1">
      <c r="A108" s="21" t="s">
        <v>72</v>
      </c>
      <c r="B108" s="22" t="s">
        <v>9</v>
      </c>
      <c r="C108" s="22" t="s">
        <v>12</v>
      </c>
      <c r="D108" s="22" t="s">
        <v>77</v>
      </c>
      <c r="E108" s="22" t="s">
        <v>89</v>
      </c>
      <c r="F108" s="22" t="s">
        <v>73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</row>
    <row r="109" spans="1:21" s="17" customFormat="1" ht="13.5" collapsed="1">
      <c r="A109" s="18" t="s">
        <v>70</v>
      </c>
      <c r="B109" s="19" t="s">
        <v>9</v>
      </c>
      <c r="C109" s="19" t="s">
        <v>12</v>
      </c>
      <c r="D109" s="19">
        <v>14</v>
      </c>
      <c r="E109" s="19" t="s">
        <v>71</v>
      </c>
      <c r="F109" s="19" t="s">
        <v>0</v>
      </c>
      <c r="G109" s="33">
        <f t="shared" ref="G109:U109" si="135">G110</f>
        <v>99456</v>
      </c>
      <c r="H109" s="33">
        <f t="shared" si="135"/>
        <v>0</v>
      </c>
      <c r="I109" s="33">
        <f t="shared" si="135"/>
        <v>99456</v>
      </c>
      <c r="J109" s="33">
        <f t="shared" si="135"/>
        <v>0</v>
      </c>
      <c r="K109" s="33">
        <f t="shared" si="135"/>
        <v>99456</v>
      </c>
      <c r="L109" s="33">
        <f t="shared" si="135"/>
        <v>0</v>
      </c>
      <c r="M109" s="33">
        <f t="shared" si="135"/>
        <v>99456</v>
      </c>
      <c r="N109" s="33">
        <f t="shared" si="135"/>
        <v>102439.67999999999</v>
      </c>
      <c r="O109" s="33">
        <f t="shared" si="135"/>
        <v>0</v>
      </c>
      <c r="P109" s="33">
        <f t="shared" si="135"/>
        <v>102439.67999999999</v>
      </c>
      <c r="Q109" s="33">
        <f t="shared" si="135"/>
        <v>0</v>
      </c>
      <c r="R109" s="33">
        <f t="shared" si="135"/>
        <v>102439.67999999999</v>
      </c>
      <c r="S109" s="33">
        <f t="shared" si="135"/>
        <v>105512.87</v>
      </c>
      <c r="T109" s="33">
        <f t="shared" si="135"/>
        <v>0</v>
      </c>
      <c r="U109" s="33">
        <f t="shared" si="135"/>
        <v>105512.87</v>
      </c>
    </row>
    <row r="110" spans="1:21" s="17" customFormat="1">
      <c r="A110" s="21" t="s">
        <v>21</v>
      </c>
      <c r="B110" s="22" t="s">
        <v>9</v>
      </c>
      <c r="C110" s="22" t="s">
        <v>12</v>
      </c>
      <c r="D110" s="22">
        <v>14</v>
      </c>
      <c r="E110" s="22" t="s">
        <v>71</v>
      </c>
      <c r="F110" s="22" t="s">
        <v>22</v>
      </c>
      <c r="G110" s="46">
        <v>99456</v>
      </c>
      <c r="H110" s="46">
        <v>0</v>
      </c>
      <c r="I110" s="46">
        <f>G110+H110</f>
        <v>99456</v>
      </c>
      <c r="J110" s="46">
        <v>0</v>
      </c>
      <c r="K110" s="46">
        <f>I110+J110</f>
        <v>99456</v>
      </c>
      <c r="L110" s="46">
        <v>0</v>
      </c>
      <c r="M110" s="46">
        <f>K110+L110</f>
        <v>99456</v>
      </c>
      <c r="N110" s="46">
        <v>102439.67999999999</v>
      </c>
      <c r="O110" s="46">
        <v>0</v>
      </c>
      <c r="P110" s="46">
        <f>N110+O110</f>
        <v>102439.67999999999</v>
      </c>
      <c r="Q110" s="46">
        <v>0</v>
      </c>
      <c r="R110" s="46">
        <f>P110+Q110</f>
        <v>102439.67999999999</v>
      </c>
      <c r="S110" s="46">
        <v>105512.87</v>
      </c>
      <c r="T110" s="46">
        <v>0</v>
      </c>
      <c r="U110" s="46">
        <f>S110+T110</f>
        <v>105512.87</v>
      </c>
    </row>
    <row r="111" spans="1:21" s="17" customFormat="1">
      <c r="A111" s="14" t="s">
        <v>222</v>
      </c>
      <c r="B111" s="15" t="s">
        <v>9</v>
      </c>
      <c r="C111" s="15" t="s">
        <v>31</v>
      </c>
      <c r="D111" s="15" t="s">
        <v>0</v>
      </c>
      <c r="E111" s="15" t="s">
        <v>0</v>
      </c>
      <c r="F111" s="15" t="s">
        <v>0</v>
      </c>
      <c r="G111" s="52">
        <f t="shared" ref="G111:U111" si="136">G112+G117</f>
        <v>18321665.369999997</v>
      </c>
      <c r="H111" s="52">
        <f t="shared" si="136"/>
        <v>3827642.0200000005</v>
      </c>
      <c r="I111" s="52">
        <f t="shared" si="136"/>
        <v>22149307.390000001</v>
      </c>
      <c r="J111" s="52">
        <f t="shared" ref="J111:K111" si="137">J112+J117</f>
        <v>0</v>
      </c>
      <c r="K111" s="52">
        <f t="shared" si="137"/>
        <v>22149307.390000001</v>
      </c>
      <c r="L111" s="52">
        <f t="shared" ref="L111:M111" si="138">L112+L117</f>
        <v>0</v>
      </c>
      <c r="M111" s="52">
        <f t="shared" si="138"/>
        <v>22149307.390000001</v>
      </c>
      <c r="N111" s="52">
        <f t="shared" si="136"/>
        <v>18619412.210000001</v>
      </c>
      <c r="O111" s="52">
        <f t="shared" si="136"/>
        <v>0</v>
      </c>
      <c r="P111" s="52">
        <f t="shared" si="136"/>
        <v>18619412.210000001</v>
      </c>
      <c r="Q111" s="52">
        <f t="shared" ref="Q111:R111" si="139">Q112+Q117</f>
        <v>8131270.79</v>
      </c>
      <c r="R111" s="52">
        <f t="shared" si="139"/>
        <v>26750683</v>
      </c>
      <c r="S111" s="52">
        <f t="shared" si="136"/>
        <v>19125474.09</v>
      </c>
      <c r="T111" s="52">
        <f t="shared" si="136"/>
        <v>9175208.9100000001</v>
      </c>
      <c r="U111" s="52">
        <f t="shared" si="136"/>
        <v>28300683</v>
      </c>
    </row>
    <row r="112" spans="1:21" s="17" customFormat="1">
      <c r="A112" s="14" t="s">
        <v>90</v>
      </c>
      <c r="B112" s="15" t="s">
        <v>9</v>
      </c>
      <c r="C112" s="15" t="s">
        <v>31</v>
      </c>
      <c r="D112" s="15" t="s">
        <v>91</v>
      </c>
      <c r="E112" s="15" t="s">
        <v>0</v>
      </c>
      <c r="F112" s="15" t="s">
        <v>0</v>
      </c>
      <c r="G112" s="52">
        <f t="shared" ref="G112:M115" si="140">G113</f>
        <v>16326642.369999999</v>
      </c>
      <c r="H112" s="52">
        <f t="shared" si="140"/>
        <v>1400975.3600000001</v>
      </c>
      <c r="I112" s="52">
        <f t="shared" si="140"/>
        <v>17727617.73</v>
      </c>
      <c r="J112" s="52">
        <f t="shared" si="140"/>
        <v>0</v>
      </c>
      <c r="K112" s="52">
        <f t="shared" si="140"/>
        <v>17727617.73</v>
      </c>
      <c r="L112" s="52">
        <f t="shared" si="140"/>
        <v>0</v>
      </c>
      <c r="M112" s="52">
        <f t="shared" si="140"/>
        <v>17727617.73</v>
      </c>
      <c r="N112" s="52">
        <f t="shared" ref="N112:U115" si="141">N113</f>
        <v>16868729.210000001</v>
      </c>
      <c r="O112" s="52">
        <f t="shared" si="141"/>
        <v>0</v>
      </c>
      <c r="P112" s="52">
        <f t="shared" si="141"/>
        <v>16868729.210000001</v>
      </c>
      <c r="Q112" s="52">
        <f t="shared" si="141"/>
        <v>8131270.79</v>
      </c>
      <c r="R112" s="52">
        <f t="shared" si="141"/>
        <v>25000000</v>
      </c>
      <c r="S112" s="52">
        <f t="shared" si="141"/>
        <v>17374791.09</v>
      </c>
      <c r="T112" s="52">
        <f t="shared" si="141"/>
        <v>9175208.9100000001</v>
      </c>
      <c r="U112" s="52">
        <f t="shared" si="141"/>
        <v>26550000</v>
      </c>
    </row>
    <row r="113" spans="1:21" s="17" customFormat="1">
      <c r="A113" s="14" t="s">
        <v>13</v>
      </c>
      <c r="B113" s="15" t="s">
        <v>9</v>
      </c>
      <c r="C113" s="15" t="s">
        <v>31</v>
      </c>
      <c r="D113" s="15" t="s">
        <v>91</v>
      </c>
      <c r="E113" s="15" t="s">
        <v>14</v>
      </c>
      <c r="F113" s="15" t="s">
        <v>0</v>
      </c>
      <c r="G113" s="52">
        <f t="shared" si="140"/>
        <v>16326642.369999999</v>
      </c>
      <c r="H113" s="52">
        <f t="shared" si="140"/>
        <v>1400975.3600000001</v>
      </c>
      <c r="I113" s="52">
        <f t="shared" si="140"/>
        <v>17727617.73</v>
      </c>
      <c r="J113" s="52">
        <f t="shared" si="140"/>
        <v>0</v>
      </c>
      <c r="K113" s="52">
        <f t="shared" si="140"/>
        <v>17727617.73</v>
      </c>
      <c r="L113" s="52">
        <f t="shared" si="140"/>
        <v>0</v>
      </c>
      <c r="M113" s="52">
        <f t="shared" si="140"/>
        <v>17727617.73</v>
      </c>
      <c r="N113" s="52">
        <f t="shared" si="141"/>
        <v>16868729.210000001</v>
      </c>
      <c r="O113" s="52">
        <f t="shared" si="141"/>
        <v>0</v>
      </c>
      <c r="P113" s="52">
        <f t="shared" si="141"/>
        <v>16868729.210000001</v>
      </c>
      <c r="Q113" s="52">
        <f t="shared" si="141"/>
        <v>8131270.79</v>
      </c>
      <c r="R113" s="52">
        <f t="shared" si="141"/>
        <v>25000000</v>
      </c>
      <c r="S113" s="52">
        <f t="shared" si="141"/>
        <v>17374791.09</v>
      </c>
      <c r="T113" s="52">
        <f t="shared" si="141"/>
        <v>9175208.9100000001</v>
      </c>
      <c r="U113" s="52">
        <f t="shared" si="141"/>
        <v>26550000</v>
      </c>
    </row>
    <row r="114" spans="1:21" s="17" customFormat="1">
      <c r="A114" s="14" t="s">
        <v>44</v>
      </c>
      <c r="B114" s="15" t="s">
        <v>9</v>
      </c>
      <c r="C114" s="15" t="s">
        <v>31</v>
      </c>
      <c r="D114" s="15" t="s">
        <v>91</v>
      </c>
      <c r="E114" s="15" t="s">
        <v>45</v>
      </c>
      <c r="F114" s="15" t="s">
        <v>0</v>
      </c>
      <c r="G114" s="52">
        <f t="shared" si="140"/>
        <v>16326642.369999999</v>
      </c>
      <c r="H114" s="52">
        <f t="shared" si="140"/>
        <v>1400975.3600000001</v>
      </c>
      <c r="I114" s="52">
        <f t="shared" si="140"/>
        <v>17727617.73</v>
      </c>
      <c r="J114" s="52">
        <f t="shared" si="140"/>
        <v>0</v>
      </c>
      <c r="K114" s="52">
        <f t="shared" si="140"/>
        <v>17727617.73</v>
      </c>
      <c r="L114" s="52">
        <f t="shared" si="140"/>
        <v>0</v>
      </c>
      <c r="M114" s="52">
        <f t="shared" si="140"/>
        <v>17727617.73</v>
      </c>
      <c r="N114" s="52">
        <f t="shared" si="141"/>
        <v>16868729.210000001</v>
      </c>
      <c r="O114" s="52">
        <f t="shared" si="141"/>
        <v>0</v>
      </c>
      <c r="P114" s="52">
        <f t="shared" si="141"/>
        <v>16868729.210000001</v>
      </c>
      <c r="Q114" s="52">
        <f t="shared" si="141"/>
        <v>8131270.79</v>
      </c>
      <c r="R114" s="52">
        <f t="shared" si="141"/>
        <v>25000000</v>
      </c>
      <c r="S114" s="52">
        <f t="shared" si="141"/>
        <v>17374791.09</v>
      </c>
      <c r="T114" s="52">
        <f t="shared" si="141"/>
        <v>9175208.9100000001</v>
      </c>
      <c r="U114" s="52">
        <f t="shared" si="141"/>
        <v>26550000</v>
      </c>
    </row>
    <row r="115" spans="1:21" s="17" customFormat="1" ht="13.5">
      <c r="A115" s="18" t="s">
        <v>88</v>
      </c>
      <c r="B115" s="19" t="s">
        <v>9</v>
      </c>
      <c r="C115" s="19" t="s">
        <v>31</v>
      </c>
      <c r="D115" s="19" t="s">
        <v>91</v>
      </c>
      <c r="E115" s="19" t="s">
        <v>89</v>
      </c>
      <c r="F115" s="19" t="s">
        <v>0</v>
      </c>
      <c r="G115" s="33">
        <f t="shared" si="140"/>
        <v>16326642.369999999</v>
      </c>
      <c r="H115" s="33">
        <f t="shared" si="140"/>
        <v>1400975.3600000001</v>
      </c>
      <c r="I115" s="33">
        <f t="shared" si="140"/>
        <v>17727617.73</v>
      </c>
      <c r="J115" s="33">
        <f t="shared" si="140"/>
        <v>0</v>
      </c>
      <c r="K115" s="33">
        <f t="shared" si="140"/>
        <v>17727617.73</v>
      </c>
      <c r="L115" s="33">
        <f t="shared" si="140"/>
        <v>0</v>
      </c>
      <c r="M115" s="33">
        <f t="shared" si="140"/>
        <v>17727617.73</v>
      </c>
      <c r="N115" s="33">
        <f t="shared" si="141"/>
        <v>16868729.210000001</v>
      </c>
      <c r="O115" s="33">
        <f t="shared" si="141"/>
        <v>0</v>
      </c>
      <c r="P115" s="33">
        <f t="shared" si="141"/>
        <v>16868729.210000001</v>
      </c>
      <c r="Q115" s="33">
        <f t="shared" si="141"/>
        <v>8131270.79</v>
      </c>
      <c r="R115" s="33">
        <f t="shared" si="141"/>
        <v>25000000</v>
      </c>
      <c r="S115" s="33">
        <f t="shared" si="141"/>
        <v>17374791.09</v>
      </c>
      <c r="T115" s="33">
        <f t="shared" si="141"/>
        <v>9175208.9100000001</v>
      </c>
      <c r="U115" s="33">
        <f t="shared" si="141"/>
        <v>26550000</v>
      </c>
    </row>
    <row r="116" spans="1:21" s="17" customFormat="1">
      <c r="A116" s="21" t="s">
        <v>21</v>
      </c>
      <c r="B116" s="22" t="s">
        <v>9</v>
      </c>
      <c r="C116" s="22" t="s">
        <v>31</v>
      </c>
      <c r="D116" s="22" t="s">
        <v>91</v>
      </c>
      <c r="E116" s="22" t="s">
        <v>89</v>
      </c>
      <c r="F116" s="22" t="s">
        <v>22</v>
      </c>
      <c r="G116" s="46">
        <f>16279488.33+47154.04</f>
        <v>16326642.369999999</v>
      </c>
      <c r="H116" s="46">
        <v>1400975.3600000001</v>
      </c>
      <c r="I116" s="46">
        <f>G116+H116</f>
        <v>17727617.73</v>
      </c>
      <c r="J116" s="46">
        <v>0</v>
      </c>
      <c r="K116" s="46">
        <f>I116+J116</f>
        <v>17727617.73</v>
      </c>
      <c r="L116" s="46">
        <v>0</v>
      </c>
      <c r="M116" s="46">
        <f>K116+L116</f>
        <v>17727617.73</v>
      </c>
      <c r="N116" s="46">
        <f>16868729.21</f>
        <v>16868729.210000001</v>
      </c>
      <c r="O116" s="46">
        <v>0</v>
      </c>
      <c r="P116" s="46">
        <f>N116+O116</f>
        <v>16868729.210000001</v>
      </c>
      <c r="Q116" s="46">
        <v>8131270.79</v>
      </c>
      <c r="R116" s="46">
        <f>P116+Q116</f>
        <v>25000000</v>
      </c>
      <c r="S116" s="46">
        <v>17374791.09</v>
      </c>
      <c r="T116" s="46">
        <v>9175208.9100000001</v>
      </c>
      <c r="U116" s="46">
        <f>S116+T116</f>
        <v>26550000</v>
      </c>
    </row>
    <row r="117" spans="1:21" s="17" customFormat="1">
      <c r="A117" s="14" t="s">
        <v>92</v>
      </c>
      <c r="B117" s="15" t="s">
        <v>9</v>
      </c>
      <c r="C117" s="15" t="s">
        <v>31</v>
      </c>
      <c r="D117" s="15" t="s">
        <v>93</v>
      </c>
      <c r="E117" s="15" t="s">
        <v>0</v>
      </c>
      <c r="F117" s="15" t="s">
        <v>0</v>
      </c>
      <c r="G117" s="52">
        <f t="shared" ref="G117:U117" si="142">G118+G122+G126</f>
        <v>1995023</v>
      </c>
      <c r="H117" s="52">
        <f t="shared" si="142"/>
        <v>2426666.66</v>
      </c>
      <c r="I117" s="52">
        <f t="shared" si="142"/>
        <v>4421689.66</v>
      </c>
      <c r="J117" s="52">
        <f t="shared" ref="J117:K117" si="143">J118+J122+J126</f>
        <v>0</v>
      </c>
      <c r="K117" s="52">
        <f t="shared" si="143"/>
        <v>4421689.66</v>
      </c>
      <c r="L117" s="52">
        <f t="shared" ref="L117:M117" si="144">L118+L122+L126</f>
        <v>0</v>
      </c>
      <c r="M117" s="52">
        <f t="shared" si="144"/>
        <v>4421689.66</v>
      </c>
      <c r="N117" s="52">
        <f t="shared" si="142"/>
        <v>1750683</v>
      </c>
      <c r="O117" s="52">
        <f t="shared" si="142"/>
        <v>0</v>
      </c>
      <c r="P117" s="52">
        <f t="shared" si="142"/>
        <v>1750683</v>
      </c>
      <c r="Q117" s="52">
        <f t="shared" ref="Q117:R117" si="145">Q118+Q122+Q126</f>
        <v>0</v>
      </c>
      <c r="R117" s="52">
        <f t="shared" si="145"/>
        <v>1750683</v>
      </c>
      <c r="S117" s="52">
        <f t="shared" si="142"/>
        <v>1750683</v>
      </c>
      <c r="T117" s="52">
        <f t="shared" si="142"/>
        <v>0</v>
      </c>
      <c r="U117" s="52">
        <f t="shared" si="142"/>
        <v>1750683</v>
      </c>
    </row>
    <row r="118" spans="1:21" s="17" customFormat="1" hidden="1" outlineLevel="1">
      <c r="A118" s="14" t="s">
        <v>13</v>
      </c>
      <c r="B118" s="15" t="s">
        <v>9</v>
      </c>
      <c r="C118" s="15" t="s">
        <v>31</v>
      </c>
      <c r="D118" s="15" t="s">
        <v>93</v>
      </c>
      <c r="E118" s="15" t="s">
        <v>14</v>
      </c>
      <c r="F118" s="15" t="s">
        <v>0</v>
      </c>
      <c r="G118" s="52">
        <f t="shared" ref="G118:U120" si="146">G119</f>
        <v>0</v>
      </c>
      <c r="H118" s="52">
        <f t="shared" si="146"/>
        <v>0</v>
      </c>
      <c r="I118" s="52">
        <f t="shared" si="146"/>
        <v>0</v>
      </c>
      <c r="J118" s="52">
        <f t="shared" si="146"/>
        <v>0</v>
      </c>
      <c r="K118" s="52">
        <f t="shared" si="146"/>
        <v>0</v>
      </c>
      <c r="L118" s="52">
        <f t="shared" si="146"/>
        <v>0</v>
      </c>
      <c r="M118" s="52">
        <f t="shared" si="146"/>
        <v>0</v>
      </c>
      <c r="N118" s="52">
        <f t="shared" si="146"/>
        <v>0</v>
      </c>
      <c r="O118" s="52">
        <f t="shared" si="146"/>
        <v>0</v>
      </c>
      <c r="P118" s="52">
        <f t="shared" si="146"/>
        <v>0</v>
      </c>
      <c r="Q118" s="52">
        <f t="shared" si="146"/>
        <v>0</v>
      </c>
      <c r="R118" s="52">
        <f t="shared" si="146"/>
        <v>0</v>
      </c>
      <c r="S118" s="52">
        <f>S119</f>
        <v>0</v>
      </c>
      <c r="T118" s="52">
        <f t="shared" si="146"/>
        <v>0</v>
      </c>
      <c r="U118" s="52">
        <f t="shared" si="146"/>
        <v>0</v>
      </c>
    </row>
    <row r="119" spans="1:21" s="17" customFormat="1" hidden="1" outlineLevel="1">
      <c r="A119" s="14" t="s">
        <v>44</v>
      </c>
      <c r="B119" s="15" t="s">
        <v>9</v>
      </c>
      <c r="C119" s="15" t="s">
        <v>31</v>
      </c>
      <c r="D119" s="15" t="s">
        <v>93</v>
      </c>
      <c r="E119" s="15" t="s">
        <v>45</v>
      </c>
      <c r="F119" s="15" t="s">
        <v>0</v>
      </c>
      <c r="G119" s="52">
        <f t="shared" si="146"/>
        <v>0</v>
      </c>
      <c r="H119" s="52">
        <f t="shared" si="146"/>
        <v>0</v>
      </c>
      <c r="I119" s="52">
        <f t="shared" si="146"/>
        <v>0</v>
      </c>
      <c r="J119" s="52">
        <f t="shared" si="146"/>
        <v>0</v>
      </c>
      <c r="K119" s="52">
        <f t="shared" si="146"/>
        <v>0</v>
      </c>
      <c r="L119" s="52">
        <f t="shared" si="146"/>
        <v>0</v>
      </c>
      <c r="M119" s="52">
        <f t="shared" si="146"/>
        <v>0</v>
      </c>
      <c r="N119" s="52">
        <f t="shared" si="146"/>
        <v>0</v>
      </c>
      <c r="O119" s="52">
        <f t="shared" si="146"/>
        <v>0</v>
      </c>
      <c r="P119" s="52">
        <f t="shared" si="146"/>
        <v>0</v>
      </c>
      <c r="Q119" s="52">
        <f t="shared" si="146"/>
        <v>0</v>
      </c>
      <c r="R119" s="52">
        <f t="shared" si="146"/>
        <v>0</v>
      </c>
      <c r="S119" s="52">
        <f>S120</f>
        <v>0</v>
      </c>
      <c r="T119" s="52">
        <f t="shared" si="146"/>
        <v>0</v>
      </c>
      <c r="U119" s="52">
        <f t="shared" si="146"/>
        <v>0</v>
      </c>
    </row>
    <row r="120" spans="1:21" s="17" customFormat="1" ht="13.5" hidden="1" outlineLevel="1">
      <c r="A120" s="18" t="s">
        <v>70</v>
      </c>
      <c r="B120" s="19" t="s">
        <v>9</v>
      </c>
      <c r="C120" s="19" t="s">
        <v>31</v>
      </c>
      <c r="D120" s="19" t="s">
        <v>93</v>
      </c>
      <c r="E120" s="19" t="s">
        <v>71</v>
      </c>
      <c r="F120" s="19" t="s">
        <v>0</v>
      </c>
      <c r="G120" s="33">
        <f t="shared" si="146"/>
        <v>0</v>
      </c>
      <c r="H120" s="33">
        <f t="shared" si="146"/>
        <v>0</v>
      </c>
      <c r="I120" s="33">
        <f t="shared" si="146"/>
        <v>0</v>
      </c>
      <c r="J120" s="33">
        <f t="shared" si="146"/>
        <v>0</v>
      </c>
      <c r="K120" s="33">
        <f t="shared" si="146"/>
        <v>0</v>
      </c>
      <c r="L120" s="33">
        <f t="shared" si="146"/>
        <v>0</v>
      </c>
      <c r="M120" s="33">
        <f t="shared" si="146"/>
        <v>0</v>
      </c>
      <c r="N120" s="33">
        <f t="shared" si="146"/>
        <v>0</v>
      </c>
      <c r="O120" s="33">
        <f t="shared" si="146"/>
        <v>0</v>
      </c>
      <c r="P120" s="33">
        <f t="shared" si="146"/>
        <v>0</v>
      </c>
      <c r="Q120" s="33">
        <f t="shared" si="146"/>
        <v>0</v>
      </c>
      <c r="R120" s="33">
        <f t="shared" si="146"/>
        <v>0</v>
      </c>
      <c r="S120" s="33">
        <f>S121</f>
        <v>0</v>
      </c>
      <c r="T120" s="33">
        <f t="shared" si="146"/>
        <v>0</v>
      </c>
      <c r="U120" s="33">
        <f t="shared" si="146"/>
        <v>0</v>
      </c>
    </row>
    <row r="121" spans="1:21" s="17" customFormat="1" hidden="1" outlineLevel="1">
      <c r="A121" s="21" t="s">
        <v>128</v>
      </c>
      <c r="B121" s="22" t="s">
        <v>9</v>
      </c>
      <c r="C121" s="22" t="s">
        <v>31</v>
      </c>
      <c r="D121" s="22" t="s">
        <v>93</v>
      </c>
      <c r="E121" s="22" t="s">
        <v>71</v>
      </c>
      <c r="F121" s="22">
        <v>600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</row>
    <row r="122" spans="1:21" s="17" customFormat="1" ht="25.5" collapsed="1">
      <c r="A122" s="14" t="s">
        <v>94</v>
      </c>
      <c r="B122" s="15" t="s">
        <v>9</v>
      </c>
      <c r="C122" s="15" t="s">
        <v>31</v>
      </c>
      <c r="D122" s="15" t="s">
        <v>93</v>
      </c>
      <c r="E122" s="15" t="s">
        <v>95</v>
      </c>
      <c r="F122" s="15" t="s">
        <v>0</v>
      </c>
      <c r="G122" s="52">
        <f t="shared" ref="G122:M124" si="147">G123</f>
        <v>1295023</v>
      </c>
      <c r="H122" s="52">
        <f t="shared" si="147"/>
        <v>2426666.66</v>
      </c>
      <c r="I122" s="52">
        <f t="shared" si="147"/>
        <v>3721689.66</v>
      </c>
      <c r="J122" s="52">
        <f t="shared" si="147"/>
        <v>0</v>
      </c>
      <c r="K122" s="52">
        <f t="shared" si="147"/>
        <v>3721689.66</v>
      </c>
      <c r="L122" s="52">
        <f t="shared" si="147"/>
        <v>0</v>
      </c>
      <c r="M122" s="52">
        <f t="shared" si="147"/>
        <v>3721689.66</v>
      </c>
      <c r="N122" s="52">
        <f t="shared" ref="N122:U124" si="148">N123</f>
        <v>1050683</v>
      </c>
      <c r="O122" s="52">
        <f t="shared" si="148"/>
        <v>0</v>
      </c>
      <c r="P122" s="52">
        <f t="shared" si="148"/>
        <v>1050683</v>
      </c>
      <c r="Q122" s="52">
        <f t="shared" si="148"/>
        <v>0</v>
      </c>
      <c r="R122" s="52">
        <f t="shared" si="148"/>
        <v>1050683</v>
      </c>
      <c r="S122" s="52">
        <f t="shared" si="148"/>
        <v>1050683</v>
      </c>
      <c r="T122" s="52">
        <f t="shared" si="148"/>
        <v>0</v>
      </c>
      <c r="U122" s="52">
        <f t="shared" si="148"/>
        <v>1050683</v>
      </c>
    </row>
    <row r="123" spans="1:21" s="17" customFormat="1" ht="25.5">
      <c r="A123" s="14" t="s">
        <v>96</v>
      </c>
      <c r="B123" s="15" t="s">
        <v>9</v>
      </c>
      <c r="C123" s="15" t="s">
        <v>31</v>
      </c>
      <c r="D123" s="15" t="s">
        <v>93</v>
      </c>
      <c r="E123" s="15" t="s">
        <v>97</v>
      </c>
      <c r="F123" s="15" t="s">
        <v>0</v>
      </c>
      <c r="G123" s="52">
        <f t="shared" si="147"/>
        <v>1295023</v>
      </c>
      <c r="H123" s="52">
        <f t="shared" si="147"/>
        <v>2426666.66</v>
      </c>
      <c r="I123" s="52">
        <f t="shared" si="147"/>
        <v>3721689.66</v>
      </c>
      <c r="J123" s="52">
        <f t="shared" si="147"/>
        <v>0</v>
      </c>
      <c r="K123" s="52">
        <f t="shared" si="147"/>
        <v>3721689.66</v>
      </c>
      <c r="L123" s="52">
        <f t="shared" si="147"/>
        <v>0</v>
      </c>
      <c r="M123" s="52">
        <f t="shared" si="147"/>
        <v>3721689.66</v>
      </c>
      <c r="N123" s="52">
        <f t="shared" si="148"/>
        <v>1050683</v>
      </c>
      <c r="O123" s="52">
        <f t="shared" si="148"/>
        <v>0</v>
      </c>
      <c r="P123" s="52">
        <f t="shared" si="148"/>
        <v>1050683</v>
      </c>
      <c r="Q123" s="52">
        <f t="shared" si="148"/>
        <v>0</v>
      </c>
      <c r="R123" s="52">
        <f t="shared" si="148"/>
        <v>1050683</v>
      </c>
      <c r="S123" s="52">
        <f t="shared" si="148"/>
        <v>1050683</v>
      </c>
      <c r="T123" s="52">
        <f t="shared" si="148"/>
        <v>0</v>
      </c>
      <c r="U123" s="52">
        <f t="shared" si="148"/>
        <v>1050683</v>
      </c>
    </row>
    <row r="124" spans="1:21" s="17" customFormat="1" ht="27">
      <c r="A124" s="18" t="s">
        <v>98</v>
      </c>
      <c r="B124" s="19" t="s">
        <v>9</v>
      </c>
      <c r="C124" s="19" t="s">
        <v>31</v>
      </c>
      <c r="D124" s="19" t="s">
        <v>93</v>
      </c>
      <c r="E124" s="19" t="s">
        <v>99</v>
      </c>
      <c r="F124" s="19" t="s">
        <v>0</v>
      </c>
      <c r="G124" s="33">
        <f t="shared" si="147"/>
        <v>1295023</v>
      </c>
      <c r="H124" s="33">
        <f t="shared" si="147"/>
        <v>2426666.66</v>
      </c>
      <c r="I124" s="33">
        <f t="shared" si="147"/>
        <v>3721689.66</v>
      </c>
      <c r="J124" s="33">
        <f t="shared" si="147"/>
        <v>0</v>
      </c>
      <c r="K124" s="33">
        <f t="shared" si="147"/>
        <v>3721689.66</v>
      </c>
      <c r="L124" s="33">
        <f t="shared" si="147"/>
        <v>0</v>
      </c>
      <c r="M124" s="33">
        <f t="shared" si="147"/>
        <v>3721689.66</v>
      </c>
      <c r="N124" s="33">
        <f t="shared" si="148"/>
        <v>1050683</v>
      </c>
      <c r="O124" s="33">
        <f t="shared" si="148"/>
        <v>0</v>
      </c>
      <c r="P124" s="33">
        <f t="shared" si="148"/>
        <v>1050683</v>
      </c>
      <c r="Q124" s="33">
        <f t="shared" si="148"/>
        <v>0</v>
      </c>
      <c r="R124" s="33">
        <f t="shared" si="148"/>
        <v>1050683</v>
      </c>
      <c r="S124" s="33">
        <f t="shared" si="148"/>
        <v>1050683</v>
      </c>
      <c r="T124" s="33">
        <f t="shared" si="148"/>
        <v>0</v>
      </c>
      <c r="U124" s="33">
        <f t="shared" si="148"/>
        <v>1050683</v>
      </c>
    </row>
    <row r="125" spans="1:21" s="17" customFormat="1">
      <c r="A125" s="21" t="s">
        <v>21</v>
      </c>
      <c r="B125" s="22" t="s">
        <v>9</v>
      </c>
      <c r="C125" s="22" t="s">
        <v>31</v>
      </c>
      <c r="D125" s="22" t="s">
        <v>93</v>
      </c>
      <c r="E125" s="22" t="s">
        <v>99</v>
      </c>
      <c r="F125" s="22" t="s">
        <v>22</v>
      </c>
      <c r="G125" s="46">
        <v>1295023</v>
      </c>
      <c r="H125" s="46">
        <v>2426666.66</v>
      </c>
      <c r="I125" s="46">
        <f>G125+H125</f>
        <v>3721689.66</v>
      </c>
      <c r="J125" s="46">
        <v>0</v>
      </c>
      <c r="K125" s="46">
        <f>I125+J125</f>
        <v>3721689.66</v>
      </c>
      <c r="L125" s="46">
        <v>0</v>
      </c>
      <c r="M125" s="46">
        <f>K125+L125</f>
        <v>3721689.66</v>
      </c>
      <c r="N125" s="46">
        <v>1050683</v>
      </c>
      <c r="O125" s="46">
        <v>0</v>
      </c>
      <c r="P125" s="46">
        <f>N125+O125</f>
        <v>1050683</v>
      </c>
      <c r="Q125" s="46">
        <v>0</v>
      </c>
      <c r="R125" s="46">
        <f>P125+Q125</f>
        <v>1050683</v>
      </c>
      <c r="S125" s="46">
        <v>1050683</v>
      </c>
      <c r="T125" s="46">
        <v>0</v>
      </c>
      <c r="U125" s="46">
        <f>S125+T125</f>
        <v>1050683</v>
      </c>
    </row>
    <row r="126" spans="1:21" s="17" customFormat="1">
      <c r="A126" s="14" t="s">
        <v>100</v>
      </c>
      <c r="B126" s="15" t="s">
        <v>9</v>
      </c>
      <c r="C126" s="15" t="s">
        <v>31</v>
      </c>
      <c r="D126" s="15" t="s">
        <v>93</v>
      </c>
      <c r="E126" s="15" t="s">
        <v>101</v>
      </c>
      <c r="F126" s="15" t="s">
        <v>0</v>
      </c>
      <c r="G126" s="52">
        <f t="shared" ref="G126:U126" si="149">G127</f>
        <v>700000</v>
      </c>
      <c r="H126" s="52">
        <f t="shared" si="149"/>
        <v>0</v>
      </c>
      <c r="I126" s="52">
        <f t="shared" si="149"/>
        <v>700000</v>
      </c>
      <c r="J126" s="52">
        <f t="shared" si="149"/>
        <v>0</v>
      </c>
      <c r="K126" s="52">
        <f t="shared" si="149"/>
        <v>700000</v>
      </c>
      <c r="L126" s="52">
        <f t="shared" si="149"/>
        <v>0</v>
      </c>
      <c r="M126" s="52">
        <f t="shared" si="149"/>
        <v>700000</v>
      </c>
      <c r="N126" s="52">
        <f t="shared" si="149"/>
        <v>700000</v>
      </c>
      <c r="O126" s="52">
        <f t="shared" si="149"/>
        <v>0</v>
      </c>
      <c r="P126" s="52">
        <f t="shared" si="149"/>
        <v>700000</v>
      </c>
      <c r="Q126" s="52">
        <f t="shared" si="149"/>
        <v>0</v>
      </c>
      <c r="R126" s="52">
        <f t="shared" si="149"/>
        <v>700000</v>
      </c>
      <c r="S126" s="52">
        <f t="shared" si="149"/>
        <v>700000</v>
      </c>
      <c r="T126" s="52">
        <f t="shared" si="149"/>
        <v>0</v>
      </c>
      <c r="U126" s="52">
        <f t="shared" si="149"/>
        <v>700000</v>
      </c>
    </row>
    <row r="127" spans="1:21" s="17" customFormat="1">
      <c r="A127" s="14" t="s">
        <v>100</v>
      </c>
      <c r="B127" s="15" t="s">
        <v>9</v>
      </c>
      <c r="C127" s="15" t="s">
        <v>31</v>
      </c>
      <c r="D127" s="15" t="s">
        <v>93</v>
      </c>
      <c r="E127" s="15" t="s">
        <v>102</v>
      </c>
      <c r="F127" s="15" t="s">
        <v>0</v>
      </c>
      <c r="G127" s="52">
        <f t="shared" ref="G127:U127" si="150">G128+G131</f>
        <v>700000</v>
      </c>
      <c r="H127" s="52">
        <f t="shared" si="150"/>
        <v>0</v>
      </c>
      <c r="I127" s="52">
        <f t="shared" si="150"/>
        <v>700000</v>
      </c>
      <c r="J127" s="52">
        <f t="shared" ref="J127:K127" si="151">J128+J131</f>
        <v>0</v>
      </c>
      <c r="K127" s="52">
        <f t="shared" si="151"/>
        <v>700000</v>
      </c>
      <c r="L127" s="52">
        <f t="shared" ref="L127:M127" si="152">L128+L131</f>
        <v>0</v>
      </c>
      <c r="M127" s="52">
        <f t="shared" si="152"/>
        <v>700000</v>
      </c>
      <c r="N127" s="52">
        <f t="shared" si="150"/>
        <v>700000</v>
      </c>
      <c r="O127" s="52">
        <f t="shared" si="150"/>
        <v>0</v>
      </c>
      <c r="P127" s="52">
        <f t="shared" si="150"/>
        <v>700000</v>
      </c>
      <c r="Q127" s="52">
        <f t="shared" ref="Q127:R127" si="153">Q128+Q131</f>
        <v>0</v>
      </c>
      <c r="R127" s="52">
        <f t="shared" si="153"/>
        <v>700000</v>
      </c>
      <c r="S127" s="52">
        <f t="shared" si="150"/>
        <v>700000</v>
      </c>
      <c r="T127" s="52">
        <f t="shared" si="150"/>
        <v>0</v>
      </c>
      <c r="U127" s="52">
        <f t="shared" si="150"/>
        <v>700000</v>
      </c>
    </row>
    <row r="128" spans="1:21" s="17" customFormat="1" ht="13.5" customHeight="1">
      <c r="A128" s="18" t="s">
        <v>103</v>
      </c>
      <c r="B128" s="19" t="s">
        <v>9</v>
      </c>
      <c r="C128" s="19" t="s">
        <v>31</v>
      </c>
      <c r="D128" s="19" t="s">
        <v>93</v>
      </c>
      <c r="E128" s="19" t="s">
        <v>104</v>
      </c>
      <c r="F128" s="19" t="s">
        <v>0</v>
      </c>
      <c r="G128" s="33">
        <f t="shared" ref="G128:U128" si="154">G129+G130</f>
        <v>500000</v>
      </c>
      <c r="H128" s="33">
        <f t="shared" si="154"/>
        <v>0</v>
      </c>
      <c r="I128" s="33">
        <f t="shared" si="154"/>
        <v>500000</v>
      </c>
      <c r="J128" s="33">
        <f t="shared" ref="J128:K128" si="155">J129+J130</f>
        <v>0</v>
      </c>
      <c r="K128" s="33">
        <f t="shared" si="155"/>
        <v>500000</v>
      </c>
      <c r="L128" s="33">
        <f t="shared" ref="L128:M128" si="156">L129+L130</f>
        <v>0</v>
      </c>
      <c r="M128" s="33">
        <f t="shared" si="156"/>
        <v>500000</v>
      </c>
      <c r="N128" s="33">
        <f t="shared" si="154"/>
        <v>500000</v>
      </c>
      <c r="O128" s="33">
        <f t="shared" si="154"/>
        <v>0</v>
      </c>
      <c r="P128" s="33">
        <f t="shared" si="154"/>
        <v>500000</v>
      </c>
      <c r="Q128" s="33">
        <f t="shared" ref="Q128:R128" si="157">Q129+Q130</f>
        <v>0</v>
      </c>
      <c r="R128" s="33">
        <f t="shared" si="157"/>
        <v>500000</v>
      </c>
      <c r="S128" s="33">
        <f t="shared" si="154"/>
        <v>500000</v>
      </c>
      <c r="T128" s="33">
        <f t="shared" si="154"/>
        <v>0</v>
      </c>
      <c r="U128" s="33">
        <f t="shared" si="154"/>
        <v>500000</v>
      </c>
    </row>
    <row r="129" spans="1:21" s="17" customFormat="1">
      <c r="A129" s="21" t="s">
        <v>21</v>
      </c>
      <c r="B129" s="22" t="s">
        <v>9</v>
      </c>
      <c r="C129" s="22" t="s">
        <v>31</v>
      </c>
      <c r="D129" s="22" t="s">
        <v>93</v>
      </c>
      <c r="E129" s="22" t="s">
        <v>104</v>
      </c>
      <c r="F129" s="22" t="s">
        <v>22</v>
      </c>
      <c r="G129" s="46">
        <v>18000</v>
      </c>
      <c r="H129" s="46">
        <v>0</v>
      </c>
      <c r="I129" s="46">
        <f>G129+H129</f>
        <v>18000</v>
      </c>
      <c r="J129" s="46">
        <v>0</v>
      </c>
      <c r="K129" s="46">
        <f>I129+J129</f>
        <v>18000</v>
      </c>
      <c r="L129" s="46">
        <v>0</v>
      </c>
      <c r="M129" s="46">
        <f>K129+L129</f>
        <v>18000</v>
      </c>
      <c r="N129" s="46">
        <v>18000</v>
      </c>
      <c r="O129" s="46">
        <v>0</v>
      </c>
      <c r="P129" s="46">
        <f>N129+O129</f>
        <v>18000</v>
      </c>
      <c r="Q129" s="46">
        <v>0</v>
      </c>
      <c r="R129" s="46">
        <f>P129+Q129</f>
        <v>18000</v>
      </c>
      <c r="S129" s="46">
        <v>18000</v>
      </c>
      <c r="T129" s="46">
        <v>0</v>
      </c>
      <c r="U129" s="46">
        <f>S129+T129</f>
        <v>18000</v>
      </c>
    </row>
    <row r="130" spans="1:21" s="17" customFormat="1">
      <c r="A130" s="21" t="s">
        <v>40</v>
      </c>
      <c r="B130" s="22" t="s">
        <v>9</v>
      </c>
      <c r="C130" s="22" t="s">
        <v>31</v>
      </c>
      <c r="D130" s="22" t="s">
        <v>93</v>
      </c>
      <c r="E130" s="22" t="s">
        <v>104</v>
      </c>
      <c r="F130" s="22" t="s">
        <v>41</v>
      </c>
      <c r="G130" s="46">
        <v>482000</v>
      </c>
      <c r="H130" s="46">
        <v>0</v>
      </c>
      <c r="I130" s="46">
        <f>G130+H130</f>
        <v>482000</v>
      </c>
      <c r="J130" s="46">
        <v>0</v>
      </c>
      <c r="K130" s="46">
        <f>I130+J130</f>
        <v>482000</v>
      </c>
      <c r="L130" s="46">
        <v>0</v>
      </c>
      <c r="M130" s="46">
        <f>K130+L130</f>
        <v>482000</v>
      </c>
      <c r="N130" s="46">
        <v>482000</v>
      </c>
      <c r="O130" s="46">
        <v>0</v>
      </c>
      <c r="P130" s="46">
        <f>N130+O130</f>
        <v>482000</v>
      </c>
      <c r="Q130" s="46">
        <v>0</v>
      </c>
      <c r="R130" s="46">
        <f>P130+Q130</f>
        <v>482000</v>
      </c>
      <c r="S130" s="46">
        <v>482000</v>
      </c>
      <c r="T130" s="46">
        <v>0</v>
      </c>
      <c r="U130" s="46">
        <f>S130+T130</f>
        <v>482000</v>
      </c>
    </row>
    <row r="131" spans="1:21" s="17" customFormat="1" ht="27">
      <c r="A131" s="18" t="s">
        <v>105</v>
      </c>
      <c r="B131" s="19" t="s">
        <v>9</v>
      </c>
      <c r="C131" s="19" t="s">
        <v>31</v>
      </c>
      <c r="D131" s="19" t="s">
        <v>93</v>
      </c>
      <c r="E131" s="19" t="s">
        <v>106</v>
      </c>
      <c r="F131" s="19" t="s">
        <v>0</v>
      </c>
      <c r="G131" s="33">
        <f t="shared" ref="G131:U131" si="158">G132</f>
        <v>200000</v>
      </c>
      <c r="H131" s="33">
        <f t="shared" si="158"/>
        <v>0</v>
      </c>
      <c r="I131" s="33">
        <f t="shared" si="158"/>
        <v>200000</v>
      </c>
      <c r="J131" s="33">
        <f t="shared" si="158"/>
        <v>0</v>
      </c>
      <c r="K131" s="33">
        <f t="shared" si="158"/>
        <v>200000</v>
      </c>
      <c r="L131" s="33">
        <f t="shared" si="158"/>
        <v>0</v>
      </c>
      <c r="M131" s="33">
        <f t="shared" si="158"/>
        <v>200000</v>
      </c>
      <c r="N131" s="33">
        <f t="shared" si="158"/>
        <v>200000</v>
      </c>
      <c r="O131" s="33">
        <f t="shared" si="158"/>
        <v>0</v>
      </c>
      <c r="P131" s="33">
        <f t="shared" si="158"/>
        <v>200000</v>
      </c>
      <c r="Q131" s="33">
        <f t="shared" si="158"/>
        <v>0</v>
      </c>
      <c r="R131" s="33">
        <f t="shared" si="158"/>
        <v>200000</v>
      </c>
      <c r="S131" s="33">
        <f t="shared" si="158"/>
        <v>200000</v>
      </c>
      <c r="T131" s="33">
        <f t="shared" si="158"/>
        <v>0</v>
      </c>
      <c r="U131" s="33">
        <f t="shared" si="158"/>
        <v>200000</v>
      </c>
    </row>
    <row r="132" spans="1:21" s="17" customFormat="1">
      <c r="A132" s="21" t="s">
        <v>40</v>
      </c>
      <c r="B132" s="22" t="s">
        <v>9</v>
      </c>
      <c r="C132" s="22" t="s">
        <v>31</v>
      </c>
      <c r="D132" s="22" t="s">
        <v>93</v>
      </c>
      <c r="E132" s="22" t="s">
        <v>106</v>
      </c>
      <c r="F132" s="22" t="s">
        <v>41</v>
      </c>
      <c r="G132" s="46">
        <v>200000</v>
      </c>
      <c r="H132" s="46">
        <v>0</v>
      </c>
      <c r="I132" s="46">
        <f>G132+H132</f>
        <v>200000</v>
      </c>
      <c r="J132" s="46">
        <v>0</v>
      </c>
      <c r="K132" s="46">
        <f>I132+J132</f>
        <v>200000</v>
      </c>
      <c r="L132" s="46">
        <v>0</v>
      </c>
      <c r="M132" s="46">
        <f>K132+L132</f>
        <v>200000</v>
      </c>
      <c r="N132" s="46">
        <v>200000</v>
      </c>
      <c r="O132" s="46">
        <v>0</v>
      </c>
      <c r="P132" s="46">
        <f>N132+O132</f>
        <v>200000</v>
      </c>
      <c r="Q132" s="46">
        <v>0</v>
      </c>
      <c r="R132" s="46">
        <f>P132+Q132</f>
        <v>200000</v>
      </c>
      <c r="S132" s="46">
        <v>200000</v>
      </c>
      <c r="T132" s="46">
        <v>0</v>
      </c>
      <c r="U132" s="46">
        <f>S132+T132</f>
        <v>200000</v>
      </c>
    </row>
    <row r="133" spans="1:21" s="17" customFormat="1">
      <c r="A133" s="14" t="s">
        <v>223</v>
      </c>
      <c r="B133" s="15" t="s">
        <v>9</v>
      </c>
      <c r="C133" s="15" t="s">
        <v>107</v>
      </c>
      <c r="D133" s="15" t="s">
        <v>0</v>
      </c>
      <c r="E133" s="15" t="s">
        <v>0</v>
      </c>
      <c r="F133" s="15" t="s">
        <v>0</v>
      </c>
      <c r="G133" s="52">
        <f t="shared" ref="G133:U133" si="159">G134+G145</f>
        <v>25000000</v>
      </c>
      <c r="H133" s="52">
        <f t="shared" si="159"/>
        <v>192525930.44</v>
      </c>
      <c r="I133" s="52">
        <f t="shared" si="159"/>
        <v>217525930.44</v>
      </c>
      <c r="J133" s="52">
        <f>J134+J145</f>
        <v>8757170</v>
      </c>
      <c r="K133" s="52">
        <f t="shared" ref="K133" si="160">K134+K145</f>
        <v>226283100.44</v>
      </c>
      <c r="L133" s="52">
        <f>L134+L145</f>
        <v>3642395.56</v>
      </c>
      <c r="M133" s="52">
        <f t="shared" ref="M133" si="161">M134+M145</f>
        <v>229925496</v>
      </c>
      <c r="N133" s="52">
        <f t="shared" si="159"/>
        <v>0</v>
      </c>
      <c r="O133" s="52">
        <f t="shared" si="159"/>
        <v>0</v>
      </c>
      <c r="P133" s="52">
        <f t="shared" si="159"/>
        <v>0</v>
      </c>
      <c r="Q133" s="52">
        <f t="shared" ref="Q133:R133" si="162">Q134+Q145</f>
        <v>0</v>
      </c>
      <c r="R133" s="52">
        <f t="shared" si="162"/>
        <v>0</v>
      </c>
      <c r="S133" s="52">
        <f t="shared" si="159"/>
        <v>0</v>
      </c>
      <c r="T133" s="52">
        <f t="shared" si="159"/>
        <v>0</v>
      </c>
      <c r="U133" s="52">
        <f t="shared" si="159"/>
        <v>0</v>
      </c>
    </row>
    <row r="134" spans="1:21" s="17" customFormat="1">
      <c r="A134" s="14" t="s">
        <v>108</v>
      </c>
      <c r="B134" s="15" t="s">
        <v>9</v>
      </c>
      <c r="C134" s="15" t="s">
        <v>107</v>
      </c>
      <c r="D134" s="15" t="s">
        <v>10</v>
      </c>
      <c r="E134" s="15" t="s">
        <v>0</v>
      </c>
      <c r="F134" s="15" t="s">
        <v>0</v>
      </c>
      <c r="G134" s="52">
        <f t="shared" ref="G134:U135" si="163">G135</f>
        <v>25000000</v>
      </c>
      <c r="H134" s="52">
        <f t="shared" si="163"/>
        <v>178664343.77000001</v>
      </c>
      <c r="I134" s="52">
        <f t="shared" si="163"/>
        <v>203664343.77000001</v>
      </c>
      <c r="J134" s="52">
        <f t="shared" si="163"/>
        <v>116000</v>
      </c>
      <c r="K134" s="52">
        <f t="shared" si="163"/>
        <v>203780343.77000001</v>
      </c>
      <c r="L134" s="52">
        <f t="shared" si="163"/>
        <v>0</v>
      </c>
      <c r="M134" s="52">
        <f t="shared" si="163"/>
        <v>203780343.77000001</v>
      </c>
      <c r="N134" s="52">
        <f t="shared" si="163"/>
        <v>0</v>
      </c>
      <c r="O134" s="52">
        <f t="shared" si="163"/>
        <v>0</v>
      </c>
      <c r="P134" s="52">
        <f t="shared" si="163"/>
        <v>0</v>
      </c>
      <c r="Q134" s="52">
        <f t="shared" si="163"/>
        <v>0</v>
      </c>
      <c r="R134" s="52">
        <f t="shared" si="163"/>
        <v>0</v>
      </c>
      <c r="S134" s="52">
        <f t="shared" si="163"/>
        <v>0</v>
      </c>
      <c r="T134" s="52">
        <f t="shared" si="163"/>
        <v>0</v>
      </c>
      <c r="U134" s="52">
        <f t="shared" si="163"/>
        <v>0</v>
      </c>
    </row>
    <row r="135" spans="1:21" s="17" customFormat="1" ht="25.5">
      <c r="A135" s="14" t="s">
        <v>94</v>
      </c>
      <c r="B135" s="15" t="s">
        <v>9</v>
      </c>
      <c r="C135" s="15" t="s">
        <v>107</v>
      </c>
      <c r="D135" s="15" t="s">
        <v>10</v>
      </c>
      <c r="E135" s="15" t="s">
        <v>95</v>
      </c>
      <c r="F135" s="15" t="s">
        <v>0</v>
      </c>
      <c r="G135" s="52">
        <f t="shared" si="163"/>
        <v>25000000</v>
      </c>
      <c r="H135" s="52">
        <f t="shared" si="163"/>
        <v>178664343.77000001</v>
      </c>
      <c r="I135" s="52">
        <f t="shared" si="163"/>
        <v>203664343.77000001</v>
      </c>
      <c r="J135" s="52">
        <f t="shared" si="163"/>
        <v>116000</v>
      </c>
      <c r="K135" s="52">
        <f t="shared" si="163"/>
        <v>203780343.77000001</v>
      </c>
      <c r="L135" s="52">
        <f t="shared" si="163"/>
        <v>0</v>
      </c>
      <c r="M135" s="52">
        <f t="shared" si="163"/>
        <v>203780343.77000001</v>
      </c>
      <c r="N135" s="52">
        <f t="shared" si="163"/>
        <v>0</v>
      </c>
      <c r="O135" s="52">
        <f t="shared" si="163"/>
        <v>0</v>
      </c>
      <c r="P135" s="52">
        <f t="shared" si="163"/>
        <v>0</v>
      </c>
      <c r="Q135" s="52">
        <f t="shared" si="163"/>
        <v>0</v>
      </c>
      <c r="R135" s="52">
        <f t="shared" si="163"/>
        <v>0</v>
      </c>
      <c r="S135" s="52">
        <f t="shared" si="163"/>
        <v>0</v>
      </c>
      <c r="T135" s="52">
        <f t="shared" si="163"/>
        <v>0</v>
      </c>
      <c r="U135" s="52">
        <f t="shared" si="163"/>
        <v>0</v>
      </c>
    </row>
    <row r="136" spans="1:21" s="17" customFormat="1">
      <c r="A136" s="14" t="s">
        <v>111</v>
      </c>
      <c r="B136" s="15" t="s">
        <v>9</v>
      </c>
      <c r="C136" s="15" t="s">
        <v>107</v>
      </c>
      <c r="D136" s="15" t="s">
        <v>10</v>
      </c>
      <c r="E136" s="15" t="s">
        <v>112</v>
      </c>
      <c r="F136" s="15" t="s">
        <v>0</v>
      </c>
      <c r="G136" s="52">
        <f t="shared" ref="G136:U136" si="164">G137+G141</f>
        <v>25000000</v>
      </c>
      <c r="H136" s="52">
        <f t="shared" si="164"/>
        <v>178664343.77000001</v>
      </c>
      <c r="I136" s="52">
        <f t="shared" si="164"/>
        <v>203664343.77000001</v>
      </c>
      <c r="J136" s="52">
        <f t="shared" ref="J136:K136" si="165">J137+J141</f>
        <v>116000</v>
      </c>
      <c r="K136" s="52">
        <f t="shared" si="165"/>
        <v>203780343.77000001</v>
      </c>
      <c r="L136" s="52">
        <f t="shared" ref="L136:M136" si="166">L137+L141</f>
        <v>0</v>
      </c>
      <c r="M136" s="52">
        <f t="shared" si="166"/>
        <v>203780343.77000001</v>
      </c>
      <c r="N136" s="52">
        <f t="shared" si="164"/>
        <v>0</v>
      </c>
      <c r="O136" s="52">
        <f t="shared" si="164"/>
        <v>0</v>
      </c>
      <c r="P136" s="52">
        <f t="shared" si="164"/>
        <v>0</v>
      </c>
      <c r="Q136" s="52">
        <f t="shared" ref="Q136:R136" si="167">Q137+Q141</f>
        <v>0</v>
      </c>
      <c r="R136" s="52">
        <f t="shared" si="167"/>
        <v>0</v>
      </c>
      <c r="S136" s="52">
        <f t="shared" si="164"/>
        <v>0</v>
      </c>
      <c r="T136" s="52">
        <f t="shared" si="164"/>
        <v>0</v>
      </c>
      <c r="U136" s="52">
        <f t="shared" si="164"/>
        <v>0</v>
      </c>
    </row>
    <row r="137" spans="1:21" s="17" customFormat="1" ht="13.5">
      <c r="A137" s="18" t="s">
        <v>236</v>
      </c>
      <c r="B137" s="19" t="s">
        <v>9</v>
      </c>
      <c r="C137" s="19" t="s">
        <v>107</v>
      </c>
      <c r="D137" s="19" t="s">
        <v>10</v>
      </c>
      <c r="E137" s="19" t="s">
        <v>235</v>
      </c>
      <c r="F137" s="19" t="s">
        <v>0</v>
      </c>
      <c r="G137" s="33">
        <f t="shared" ref="G137:U137" si="168">G138+G139+G140</f>
        <v>25000000</v>
      </c>
      <c r="H137" s="33">
        <f t="shared" si="168"/>
        <v>178664343.77000001</v>
      </c>
      <c r="I137" s="33">
        <f t="shared" si="168"/>
        <v>203664343.77000001</v>
      </c>
      <c r="J137" s="33">
        <f t="shared" ref="J137:K137" si="169">J138+J139+J140</f>
        <v>116000</v>
      </c>
      <c r="K137" s="33">
        <f t="shared" si="169"/>
        <v>203780343.77000001</v>
      </c>
      <c r="L137" s="33">
        <f t="shared" ref="L137:M137" si="170">L138+L139+L140</f>
        <v>0</v>
      </c>
      <c r="M137" s="33">
        <f t="shared" si="170"/>
        <v>203780343.77000001</v>
      </c>
      <c r="N137" s="33">
        <f t="shared" si="168"/>
        <v>0</v>
      </c>
      <c r="O137" s="33">
        <f t="shared" si="168"/>
        <v>0</v>
      </c>
      <c r="P137" s="33">
        <f t="shared" si="168"/>
        <v>0</v>
      </c>
      <c r="Q137" s="33">
        <f t="shared" ref="Q137:R137" si="171">Q138+Q139+Q140</f>
        <v>0</v>
      </c>
      <c r="R137" s="33">
        <f t="shared" si="171"/>
        <v>0</v>
      </c>
      <c r="S137" s="33">
        <f t="shared" si="168"/>
        <v>0</v>
      </c>
      <c r="T137" s="33">
        <f t="shared" si="168"/>
        <v>0</v>
      </c>
      <c r="U137" s="33">
        <f t="shared" si="168"/>
        <v>0</v>
      </c>
    </row>
    <row r="138" spans="1:21" s="17" customFormat="1" outlineLevel="1">
      <c r="A138" s="21" t="s">
        <v>21</v>
      </c>
      <c r="B138" s="22" t="s">
        <v>9</v>
      </c>
      <c r="C138" s="22" t="s">
        <v>107</v>
      </c>
      <c r="D138" s="22" t="s">
        <v>10</v>
      </c>
      <c r="E138" s="34" t="s">
        <v>235</v>
      </c>
      <c r="F138" s="22" t="s">
        <v>22</v>
      </c>
      <c r="G138" s="46">
        <v>0</v>
      </c>
      <c r="H138" s="46">
        <v>224500</v>
      </c>
      <c r="I138" s="46">
        <f>G138+H138</f>
        <v>224500</v>
      </c>
      <c r="J138" s="46">
        <v>116000</v>
      </c>
      <c r="K138" s="46">
        <f>I138+J138</f>
        <v>340500</v>
      </c>
      <c r="L138" s="46">
        <v>0</v>
      </c>
      <c r="M138" s="46">
        <f>K138+L138</f>
        <v>340500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</row>
    <row r="139" spans="1:21" s="17" customFormat="1" ht="18" customHeight="1">
      <c r="A139" s="21" t="s">
        <v>38</v>
      </c>
      <c r="B139" s="22" t="s">
        <v>9</v>
      </c>
      <c r="C139" s="22" t="s">
        <v>107</v>
      </c>
      <c r="D139" s="22" t="s">
        <v>10</v>
      </c>
      <c r="E139" s="34" t="s">
        <v>235</v>
      </c>
      <c r="F139" s="22" t="s">
        <v>39</v>
      </c>
      <c r="G139" s="46">
        <v>25000000</v>
      </c>
      <c r="H139" s="46">
        <v>178439843.77000001</v>
      </c>
      <c r="I139" s="46">
        <f>G139+H139</f>
        <v>203439843.77000001</v>
      </c>
      <c r="J139" s="46">
        <v>0</v>
      </c>
      <c r="K139" s="46">
        <f>I139+J139</f>
        <v>203439843.77000001</v>
      </c>
      <c r="L139" s="46">
        <v>0</v>
      </c>
      <c r="M139" s="46">
        <f>K139+L139</f>
        <v>203439843.77000001</v>
      </c>
      <c r="N139" s="46">
        <v>0</v>
      </c>
      <c r="O139" s="46">
        <v>0</v>
      </c>
      <c r="P139" s="46">
        <f>N139+O139</f>
        <v>0</v>
      </c>
      <c r="Q139" s="46">
        <v>0</v>
      </c>
      <c r="R139" s="46">
        <f>P139+Q139</f>
        <v>0</v>
      </c>
      <c r="S139" s="46">
        <v>0</v>
      </c>
      <c r="T139" s="46">
        <v>0</v>
      </c>
      <c r="U139" s="46">
        <f>S139+T139</f>
        <v>0</v>
      </c>
    </row>
    <row r="140" spans="1:21" s="17" customFormat="1" hidden="1" outlineLevel="1">
      <c r="A140" s="21" t="s">
        <v>40</v>
      </c>
      <c r="B140" s="22" t="s">
        <v>9</v>
      </c>
      <c r="C140" s="22" t="s">
        <v>107</v>
      </c>
      <c r="D140" s="22" t="s">
        <v>10</v>
      </c>
      <c r="E140" s="34" t="s">
        <v>235</v>
      </c>
      <c r="F140" s="22" t="s">
        <v>41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</row>
    <row r="141" spans="1:21" s="17" customFormat="1" ht="13.5" hidden="1" outlineLevel="1">
      <c r="A141" s="18" t="s">
        <v>113</v>
      </c>
      <c r="B141" s="19" t="s">
        <v>9</v>
      </c>
      <c r="C141" s="19" t="s">
        <v>107</v>
      </c>
      <c r="D141" s="19" t="s">
        <v>10</v>
      </c>
      <c r="E141" s="19" t="s">
        <v>114</v>
      </c>
      <c r="F141" s="19" t="s">
        <v>0</v>
      </c>
      <c r="G141" s="33">
        <f t="shared" ref="G141:U141" si="172">G142+G143+G144</f>
        <v>0</v>
      </c>
      <c r="H141" s="33">
        <f t="shared" si="172"/>
        <v>0</v>
      </c>
      <c r="I141" s="33">
        <f t="shared" si="172"/>
        <v>0</v>
      </c>
      <c r="J141" s="33">
        <f t="shared" ref="J141:K141" si="173">J142+J143+J144</f>
        <v>0</v>
      </c>
      <c r="K141" s="33">
        <f t="shared" si="173"/>
        <v>0</v>
      </c>
      <c r="L141" s="33">
        <f t="shared" ref="L141:M141" si="174">L142+L143+L144</f>
        <v>0</v>
      </c>
      <c r="M141" s="33">
        <f t="shared" si="174"/>
        <v>0</v>
      </c>
      <c r="N141" s="33">
        <f t="shared" si="172"/>
        <v>0</v>
      </c>
      <c r="O141" s="33">
        <f t="shared" si="172"/>
        <v>0</v>
      </c>
      <c r="P141" s="33">
        <f t="shared" si="172"/>
        <v>0</v>
      </c>
      <c r="Q141" s="33">
        <f t="shared" ref="Q141:R141" si="175">Q142+Q143+Q144</f>
        <v>0</v>
      </c>
      <c r="R141" s="33">
        <f t="shared" si="175"/>
        <v>0</v>
      </c>
      <c r="S141" s="33">
        <f t="shared" si="172"/>
        <v>0</v>
      </c>
      <c r="T141" s="33">
        <f t="shared" si="172"/>
        <v>0</v>
      </c>
      <c r="U141" s="33">
        <f t="shared" si="172"/>
        <v>0</v>
      </c>
    </row>
    <row r="142" spans="1:21" s="17" customFormat="1" hidden="1" outlineLevel="1">
      <c r="A142" s="21" t="s">
        <v>21</v>
      </c>
      <c r="B142" s="22" t="s">
        <v>9</v>
      </c>
      <c r="C142" s="22" t="s">
        <v>107</v>
      </c>
      <c r="D142" s="22" t="s">
        <v>10</v>
      </c>
      <c r="E142" s="22" t="s">
        <v>114</v>
      </c>
      <c r="F142" s="22" t="s">
        <v>22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</row>
    <row r="143" spans="1:21" s="17" customFormat="1" hidden="1" outlineLevel="1">
      <c r="A143" s="21" t="s">
        <v>38</v>
      </c>
      <c r="B143" s="22" t="s">
        <v>9</v>
      </c>
      <c r="C143" s="22" t="s">
        <v>107</v>
      </c>
      <c r="D143" s="22" t="s">
        <v>10</v>
      </c>
      <c r="E143" s="22" t="s">
        <v>114</v>
      </c>
      <c r="F143" s="22" t="s">
        <v>39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</row>
    <row r="144" spans="1:21" s="17" customFormat="1" hidden="1" outlineLevel="1">
      <c r="A144" s="21" t="s">
        <v>40</v>
      </c>
      <c r="B144" s="22" t="s">
        <v>9</v>
      </c>
      <c r="C144" s="22" t="s">
        <v>107</v>
      </c>
      <c r="D144" s="22" t="s">
        <v>10</v>
      </c>
      <c r="E144" s="22" t="s">
        <v>114</v>
      </c>
      <c r="F144" s="22" t="s">
        <v>41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</row>
    <row r="145" spans="1:21" s="17" customFormat="1" ht="14.45" customHeight="1" collapsed="1">
      <c r="A145" s="39" t="s">
        <v>193</v>
      </c>
      <c r="B145" s="15" t="s">
        <v>9</v>
      </c>
      <c r="C145" s="15" t="s">
        <v>107</v>
      </c>
      <c r="D145" s="15" t="s">
        <v>12</v>
      </c>
      <c r="E145" s="15" t="s">
        <v>0</v>
      </c>
      <c r="F145" s="15" t="s">
        <v>0</v>
      </c>
      <c r="G145" s="52">
        <f t="shared" ref="G145:U147" si="176">G146</f>
        <v>0</v>
      </c>
      <c r="H145" s="52">
        <f>H146</f>
        <v>13861586.67</v>
      </c>
      <c r="I145" s="52">
        <f t="shared" si="176"/>
        <v>13861586.67</v>
      </c>
      <c r="J145" s="52">
        <f>J146</f>
        <v>8641170</v>
      </c>
      <c r="K145" s="52">
        <f t="shared" si="176"/>
        <v>22502756.670000002</v>
      </c>
      <c r="L145" s="52">
        <f>L146</f>
        <v>3642395.56</v>
      </c>
      <c r="M145" s="52">
        <f t="shared" si="176"/>
        <v>26145152.23</v>
      </c>
      <c r="N145" s="52">
        <f>N146</f>
        <v>0</v>
      </c>
      <c r="O145" s="52">
        <f>O146</f>
        <v>0</v>
      </c>
      <c r="P145" s="52">
        <f t="shared" si="176"/>
        <v>0</v>
      </c>
      <c r="Q145" s="52">
        <f>Q146</f>
        <v>0</v>
      </c>
      <c r="R145" s="52">
        <f t="shared" si="176"/>
        <v>0</v>
      </c>
      <c r="S145" s="52">
        <f t="shared" si="176"/>
        <v>0</v>
      </c>
      <c r="T145" s="52">
        <f>T146</f>
        <v>0</v>
      </c>
      <c r="U145" s="52">
        <f t="shared" si="176"/>
        <v>0</v>
      </c>
    </row>
    <row r="146" spans="1:21" s="17" customFormat="1" ht="25.5">
      <c r="A146" s="39" t="s">
        <v>172</v>
      </c>
      <c r="B146" s="15" t="s">
        <v>9</v>
      </c>
      <c r="C146" s="15" t="s">
        <v>107</v>
      </c>
      <c r="D146" s="15" t="s">
        <v>12</v>
      </c>
      <c r="E146" s="15" t="s">
        <v>173</v>
      </c>
      <c r="F146" s="15" t="s">
        <v>0</v>
      </c>
      <c r="G146" s="52">
        <f t="shared" si="176"/>
        <v>0</v>
      </c>
      <c r="H146" s="52">
        <f>H147+H150</f>
        <v>13861586.67</v>
      </c>
      <c r="I146" s="52">
        <f t="shared" ref="I146:U146" si="177">I147+I150</f>
        <v>13861586.67</v>
      </c>
      <c r="J146" s="52">
        <f>J147+J150</f>
        <v>8641170</v>
      </c>
      <c r="K146" s="52">
        <f t="shared" ref="K146" si="178">K147+K150</f>
        <v>22502756.670000002</v>
      </c>
      <c r="L146" s="52">
        <f>L147+L150</f>
        <v>3642395.56</v>
      </c>
      <c r="M146" s="52">
        <f t="shared" ref="M146" si="179">M147+M150</f>
        <v>26145152.23</v>
      </c>
      <c r="N146" s="52">
        <f t="shared" si="177"/>
        <v>0</v>
      </c>
      <c r="O146" s="52">
        <f t="shared" si="177"/>
        <v>0</v>
      </c>
      <c r="P146" s="52">
        <f t="shared" si="177"/>
        <v>0</v>
      </c>
      <c r="Q146" s="52">
        <f t="shared" ref="Q146:R146" si="180">Q147+Q150</f>
        <v>0</v>
      </c>
      <c r="R146" s="52">
        <f t="shared" si="180"/>
        <v>0</v>
      </c>
      <c r="S146" s="52">
        <f t="shared" si="177"/>
        <v>0</v>
      </c>
      <c r="T146" s="52">
        <f t="shared" si="177"/>
        <v>0</v>
      </c>
      <c r="U146" s="52">
        <f t="shared" si="177"/>
        <v>0</v>
      </c>
    </row>
    <row r="147" spans="1:21" s="17" customFormat="1">
      <c r="A147" s="39" t="s">
        <v>174</v>
      </c>
      <c r="B147" s="15" t="s">
        <v>9</v>
      </c>
      <c r="C147" s="15" t="s">
        <v>107</v>
      </c>
      <c r="D147" s="15" t="s">
        <v>12</v>
      </c>
      <c r="E147" s="15" t="s">
        <v>175</v>
      </c>
      <c r="F147" s="15" t="s">
        <v>0</v>
      </c>
      <c r="G147" s="52">
        <f t="shared" si="176"/>
        <v>0</v>
      </c>
      <c r="H147" s="52">
        <f t="shared" si="176"/>
        <v>5361586.67</v>
      </c>
      <c r="I147" s="52">
        <f t="shared" ref="I147:U148" si="181">I148</f>
        <v>5361586.67</v>
      </c>
      <c r="J147" s="52">
        <f t="shared" si="176"/>
        <v>8641170</v>
      </c>
      <c r="K147" s="52">
        <f t="shared" si="181"/>
        <v>14002756.67</v>
      </c>
      <c r="L147" s="52">
        <f t="shared" si="176"/>
        <v>3642395.56</v>
      </c>
      <c r="M147" s="52">
        <f t="shared" si="181"/>
        <v>17645152.23</v>
      </c>
      <c r="N147" s="52">
        <f t="shared" si="181"/>
        <v>0</v>
      </c>
      <c r="O147" s="52">
        <f t="shared" si="181"/>
        <v>0</v>
      </c>
      <c r="P147" s="52">
        <f t="shared" si="181"/>
        <v>0</v>
      </c>
      <c r="Q147" s="52">
        <f t="shared" si="181"/>
        <v>0</v>
      </c>
      <c r="R147" s="52">
        <f t="shared" si="181"/>
        <v>0</v>
      </c>
      <c r="S147" s="52">
        <f t="shared" si="176"/>
        <v>0</v>
      </c>
      <c r="T147" s="52">
        <f t="shared" si="181"/>
        <v>0</v>
      </c>
      <c r="U147" s="52">
        <f t="shared" si="181"/>
        <v>0</v>
      </c>
    </row>
    <row r="148" spans="1:21" s="17" customFormat="1" ht="28.5" customHeight="1">
      <c r="A148" s="42" t="s">
        <v>284</v>
      </c>
      <c r="B148" s="19" t="s">
        <v>9</v>
      </c>
      <c r="C148" s="19" t="s">
        <v>107</v>
      </c>
      <c r="D148" s="19" t="s">
        <v>12</v>
      </c>
      <c r="E148" s="19" t="s">
        <v>285</v>
      </c>
      <c r="F148" s="19" t="s">
        <v>0</v>
      </c>
      <c r="G148" s="20">
        <f>G149</f>
        <v>0</v>
      </c>
      <c r="H148" s="20">
        <f>H149</f>
        <v>5361586.67</v>
      </c>
      <c r="I148" s="20">
        <f t="shared" si="181"/>
        <v>5361586.67</v>
      </c>
      <c r="J148" s="20">
        <f>J149</f>
        <v>8641170</v>
      </c>
      <c r="K148" s="20">
        <f t="shared" si="181"/>
        <v>14002756.67</v>
      </c>
      <c r="L148" s="20">
        <f>L149</f>
        <v>3642395.56</v>
      </c>
      <c r="M148" s="20">
        <f t="shared" si="181"/>
        <v>17645152.23</v>
      </c>
      <c r="N148" s="20">
        <f t="shared" si="181"/>
        <v>0</v>
      </c>
      <c r="O148" s="20">
        <f t="shared" si="181"/>
        <v>0</v>
      </c>
      <c r="P148" s="20">
        <f t="shared" si="181"/>
        <v>0</v>
      </c>
      <c r="Q148" s="20">
        <f t="shared" si="181"/>
        <v>0</v>
      </c>
      <c r="R148" s="20">
        <f t="shared" si="181"/>
        <v>0</v>
      </c>
      <c r="S148" s="20">
        <f>S149</f>
        <v>0</v>
      </c>
      <c r="T148" s="20">
        <f t="shared" si="181"/>
        <v>0</v>
      </c>
      <c r="U148" s="20">
        <f t="shared" si="181"/>
        <v>0</v>
      </c>
    </row>
    <row r="149" spans="1:21" s="17" customFormat="1" ht="25.5">
      <c r="A149" s="47" t="s">
        <v>251</v>
      </c>
      <c r="B149" s="48" t="s">
        <v>9</v>
      </c>
      <c r="C149" s="48" t="s">
        <v>107</v>
      </c>
      <c r="D149" s="48" t="s">
        <v>12</v>
      </c>
      <c r="E149" s="48" t="s">
        <v>285</v>
      </c>
      <c r="F149" s="48">
        <v>600</v>
      </c>
      <c r="G149" s="46">
        <v>0</v>
      </c>
      <c r="H149" s="46">
        <v>5361586.67</v>
      </c>
      <c r="I149" s="46">
        <f>G149+H149</f>
        <v>5361586.67</v>
      </c>
      <c r="J149" s="46">
        <v>8641170</v>
      </c>
      <c r="K149" s="46">
        <f>I149+J149</f>
        <v>14002756.67</v>
      </c>
      <c r="L149" s="46">
        <f>2539632.56+1102763</f>
        <v>3642395.56</v>
      </c>
      <c r="M149" s="46">
        <f>K149+L149</f>
        <v>17645152.23</v>
      </c>
      <c r="N149" s="46">
        <v>0</v>
      </c>
      <c r="O149" s="46">
        <v>0</v>
      </c>
      <c r="P149" s="46">
        <f>N149+O149</f>
        <v>0</v>
      </c>
      <c r="Q149" s="46">
        <v>0</v>
      </c>
      <c r="R149" s="46">
        <f>P149+Q149</f>
        <v>0</v>
      </c>
      <c r="S149" s="46">
        <v>0</v>
      </c>
      <c r="T149" s="46">
        <v>0</v>
      </c>
      <c r="U149" s="46">
        <f>S149+T149</f>
        <v>0</v>
      </c>
    </row>
    <row r="150" spans="1:21" s="17" customFormat="1" ht="13.5">
      <c r="A150" s="18" t="s">
        <v>206</v>
      </c>
      <c r="B150" s="19" t="s">
        <v>9</v>
      </c>
      <c r="C150" s="19" t="s">
        <v>107</v>
      </c>
      <c r="D150" s="19" t="s">
        <v>12</v>
      </c>
      <c r="E150" s="19" t="s">
        <v>207</v>
      </c>
      <c r="F150" s="48"/>
      <c r="G150" s="20">
        <f>G151</f>
        <v>0</v>
      </c>
      <c r="H150" s="20">
        <f>H151</f>
        <v>8500000</v>
      </c>
      <c r="I150" s="20">
        <f t="shared" ref="I150:U150" si="182">I151</f>
        <v>8500000</v>
      </c>
      <c r="J150" s="20">
        <f>J151</f>
        <v>0</v>
      </c>
      <c r="K150" s="20">
        <f t="shared" si="182"/>
        <v>8500000</v>
      </c>
      <c r="L150" s="20">
        <f>L151</f>
        <v>0</v>
      </c>
      <c r="M150" s="20">
        <f t="shared" si="182"/>
        <v>8500000</v>
      </c>
      <c r="N150" s="20">
        <f t="shared" si="182"/>
        <v>0</v>
      </c>
      <c r="O150" s="20">
        <f t="shared" si="182"/>
        <v>0</v>
      </c>
      <c r="P150" s="20">
        <f t="shared" si="182"/>
        <v>0</v>
      </c>
      <c r="Q150" s="20">
        <f t="shared" si="182"/>
        <v>0</v>
      </c>
      <c r="R150" s="20">
        <f t="shared" si="182"/>
        <v>0</v>
      </c>
      <c r="S150" s="20">
        <f t="shared" si="182"/>
        <v>0</v>
      </c>
      <c r="T150" s="20">
        <f t="shared" si="182"/>
        <v>0</v>
      </c>
      <c r="U150" s="20">
        <f t="shared" si="182"/>
        <v>0</v>
      </c>
    </row>
    <row r="151" spans="1:21" s="17" customFormat="1" ht="25.5">
      <c r="A151" s="47" t="s">
        <v>251</v>
      </c>
      <c r="B151" s="48" t="s">
        <v>9</v>
      </c>
      <c r="C151" s="48" t="s">
        <v>107</v>
      </c>
      <c r="D151" s="48" t="s">
        <v>12</v>
      </c>
      <c r="E151" s="48" t="s">
        <v>207</v>
      </c>
      <c r="F151" s="48">
        <v>600</v>
      </c>
      <c r="G151" s="46">
        <v>0</v>
      </c>
      <c r="H151" s="46">
        <v>8500000</v>
      </c>
      <c r="I151" s="46">
        <f>G151+H151</f>
        <v>8500000</v>
      </c>
      <c r="J151" s="46">
        <v>0</v>
      </c>
      <c r="K151" s="46">
        <f>I151+J151</f>
        <v>8500000</v>
      </c>
      <c r="L151" s="46">
        <v>0</v>
      </c>
      <c r="M151" s="46">
        <f>K151+L151</f>
        <v>8500000</v>
      </c>
      <c r="N151" s="46">
        <v>0</v>
      </c>
      <c r="O151" s="46">
        <v>0</v>
      </c>
      <c r="P151" s="46">
        <f>N151+O151</f>
        <v>0</v>
      </c>
      <c r="Q151" s="46">
        <v>0</v>
      </c>
      <c r="R151" s="46">
        <f>P151+Q151</f>
        <v>0</v>
      </c>
      <c r="S151" s="46">
        <v>0</v>
      </c>
      <c r="T151" s="46">
        <v>0</v>
      </c>
      <c r="U151" s="46">
        <f>S151+T151</f>
        <v>0</v>
      </c>
    </row>
    <row r="152" spans="1:21" s="17" customFormat="1" ht="14.45" customHeight="1">
      <c r="A152" s="14" t="s">
        <v>224</v>
      </c>
      <c r="B152" s="15" t="s">
        <v>9</v>
      </c>
      <c r="C152" s="15" t="s">
        <v>214</v>
      </c>
      <c r="D152" s="15" t="s">
        <v>0</v>
      </c>
      <c r="E152" s="15" t="s">
        <v>0</v>
      </c>
      <c r="F152" s="15" t="s">
        <v>0</v>
      </c>
      <c r="G152" s="38">
        <f t="shared" ref="G152:U153" si="183">G153</f>
        <v>3042387.4798254715</v>
      </c>
      <c r="H152" s="38">
        <f t="shared" si="183"/>
        <v>0</v>
      </c>
      <c r="I152" s="38">
        <f t="shared" si="183"/>
        <v>3042387.4798254715</v>
      </c>
      <c r="J152" s="38">
        <f t="shared" si="183"/>
        <v>0</v>
      </c>
      <c r="K152" s="38">
        <f t="shared" si="183"/>
        <v>3042387.4798254715</v>
      </c>
      <c r="L152" s="38">
        <f t="shared" si="183"/>
        <v>-12467</v>
      </c>
      <c r="M152" s="38">
        <f t="shared" si="183"/>
        <v>3029920.4798254715</v>
      </c>
      <c r="N152" s="38">
        <f t="shared" si="183"/>
        <v>3103766.1921753325</v>
      </c>
      <c r="O152" s="38">
        <f t="shared" si="183"/>
        <v>0</v>
      </c>
      <c r="P152" s="38">
        <f t="shared" si="183"/>
        <v>3103766.1921753325</v>
      </c>
      <c r="Q152" s="38">
        <f t="shared" si="183"/>
        <v>0</v>
      </c>
      <c r="R152" s="38">
        <f t="shared" si="183"/>
        <v>3103766.1921753325</v>
      </c>
      <c r="S152" s="38">
        <f t="shared" si="183"/>
        <v>3179879.4776981925</v>
      </c>
      <c r="T152" s="38">
        <f t="shared" si="183"/>
        <v>0</v>
      </c>
      <c r="U152" s="38">
        <f t="shared" si="183"/>
        <v>3179879.4776981925</v>
      </c>
    </row>
    <row r="153" spans="1:21" s="17" customFormat="1">
      <c r="A153" s="14" t="s">
        <v>215</v>
      </c>
      <c r="B153" s="15" t="s">
        <v>9</v>
      </c>
      <c r="C153" s="15" t="s">
        <v>214</v>
      </c>
      <c r="D153" s="15" t="s">
        <v>214</v>
      </c>
      <c r="E153" s="15" t="s">
        <v>0</v>
      </c>
      <c r="F153" s="15" t="s">
        <v>0</v>
      </c>
      <c r="G153" s="38">
        <f t="shared" si="183"/>
        <v>3042387.4798254715</v>
      </c>
      <c r="H153" s="38">
        <f t="shared" si="183"/>
        <v>0</v>
      </c>
      <c r="I153" s="38">
        <f t="shared" si="183"/>
        <v>3042387.4798254715</v>
      </c>
      <c r="J153" s="38">
        <f t="shared" si="183"/>
        <v>0</v>
      </c>
      <c r="K153" s="38">
        <f t="shared" si="183"/>
        <v>3042387.4798254715</v>
      </c>
      <c r="L153" s="38">
        <f t="shared" si="183"/>
        <v>-12467</v>
      </c>
      <c r="M153" s="38">
        <f t="shared" si="183"/>
        <v>3029920.4798254715</v>
      </c>
      <c r="N153" s="38">
        <f t="shared" si="183"/>
        <v>3103766.1921753325</v>
      </c>
      <c r="O153" s="38">
        <f t="shared" si="183"/>
        <v>0</v>
      </c>
      <c r="P153" s="38">
        <f t="shared" si="183"/>
        <v>3103766.1921753325</v>
      </c>
      <c r="Q153" s="38">
        <f t="shared" si="183"/>
        <v>0</v>
      </c>
      <c r="R153" s="38">
        <f t="shared" si="183"/>
        <v>3103766.1921753325</v>
      </c>
      <c r="S153" s="38">
        <f t="shared" si="183"/>
        <v>3179879.4776981925</v>
      </c>
      <c r="T153" s="38">
        <f t="shared" si="183"/>
        <v>0</v>
      </c>
      <c r="U153" s="38">
        <f t="shared" si="183"/>
        <v>3179879.4776981925</v>
      </c>
    </row>
    <row r="154" spans="1:21" s="17" customFormat="1">
      <c r="A154" s="39" t="s">
        <v>210</v>
      </c>
      <c r="B154" s="15" t="s">
        <v>9</v>
      </c>
      <c r="C154" s="40" t="s">
        <v>214</v>
      </c>
      <c r="D154" s="40" t="s">
        <v>214</v>
      </c>
      <c r="E154" s="40" t="s">
        <v>249</v>
      </c>
      <c r="F154" s="40" t="s">
        <v>0</v>
      </c>
      <c r="G154" s="41">
        <f t="shared" ref="G154:U155" si="184">G155</f>
        <v>3042387.4798254715</v>
      </c>
      <c r="H154" s="41">
        <f t="shared" si="184"/>
        <v>0</v>
      </c>
      <c r="I154" s="41">
        <f t="shared" si="184"/>
        <v>3042387.4798254715</v>
      </c>
      <c r="J154" s="41">
        <f t="shared" si="184"/>
        <v>0</v>
      </c>
      <c r="K154" s="41">
        <f t="shared" si="184"/>
        <v>3042387.4798254715</v>
      </c>
      <c r="L154" s="41">
        <f t="shared" si="184"/>
        <v>-12467</v>
      </c>
      <c r="M154" s="41">
        <f t="shared" si="184"/>
        <v>3029920.4798254715</v>
      </c>
      <c r="N154" s="41">
        <f t="shared" si="184"/>
        <v>3103766.1921753325</v>
      </c>
      <c r="O154" s="41">
        <f t="shared" si="184"/>
        <v>0</v>
      </c>
      <c r="P154" s="41">
        <f t="shared" si="184"/>
        <v>3103766.1921753325</v>
      </c>
      <c r="Q154" s="41">
        <f t="shared" si="184"/>
        <v>0</v>
      </c>
      <c r="R154" s="41">
        <f t="shared" si="184"/>
        <v>3103766.1921753325</v>
      </c>
      <c r="S154" s="41">
        <f t="shared" si="184"/>
        <v>3179879.4776981925</v>
      </c>
      <c r="T154" s="41">
        <f t="shared" si="184"/>
        <v>0</v>
      </c>
      <c r="U154" s="41">
        <f t="shared" si="184"/>
        <v>3179879.4776981925</v>
      </c>
    </row>
    <row r="155" spans="1:21" s="17" customFormat="1" ht="27">
      <c r="A155" s="42" t="s">
        <v>124</v>
      </c>
      <c r="B155" s="19" t="s">
        <v>9</v>
      </c>
      <c r="C155" s="43" t="s">
        <v>214</v>
      </c>
      <c r="D155" s="43" t="s">
        <v>214</v>
      </c>
      <c r="E155" s="43" t="s">
        <v>250</v>
      </c>
      <c r="F155" s="43" t="s">
        <v>0</v>
      </c>
      <c r="G155" s="44">
        <f t="shared" si="184"/>
        <v>3042387.4798254715</v>
      </c>
      <c r="H155" s="44">
        <f t="shared" si="184"/>
        <v>0</v>
      </c>
      <c r="I155" s="44">
        <f t="shared" si="184"/>
        <v>3042387.4798254715</v>
      </c>
      <c r="J155" s="44">
        <f t="shared" si="184"/>
        <v>0</v>
      </c>
      <c r="K155" s="44">
        <f t="shared" si="184"/>
        <v>3042387.4798254715</v>
      </c>
      <c r="L155" s="44">
        <f t="shared" si="184"/>
        <v>-12467</v>
      </c>
      <c r="M155" s="44">
        <f t="shared" si="184"/>
        <v>3029920.4798254715</v>
      </c>
      <c r="N155" s="44">
        <f t="shared" si="184"/>
        <v>3103766.1921753325</v>
      </c>
      <c r="O155" s="44">
        <f t="shared" si="184"/>
        <v>0</v>
      </c>
      <c r="P155" s="44">
        <f t="shared" si="184"/>
        <v>3103766.1921753325</v>
      </c>
      <c r="Q155" s="44">
        <f t="shared" si="184"/>
        <v>0</v>
      </c>
      <c r="R155" s="44">
        <f t="shared" si="184"/>
        <v>3103766.1921753325</v>
      </c>
      <c r="S155" s="44">
        <f t="shared" si="184"/>
        <v>3179879.4776981925</v>
      </c>
      <c r="T155" s="44">
        <f t="shared" si="184"/>
        <v>0</v>
      </c>
      <c r="U155" s="44">
        <f t="shared" si="184"/>
        <v>3179879.4776981925</v>
      </c>
    </row>
    <row r="156" spans="1:21" s="17" customFormat="1" ht="25.5">
      <c r="A156" s="47" t="s">
        <v>251</v>
      </c>
      <c r="B156" s="49" t="s">
        <v>9</v>
      </c>
      <c r="C156" s="49" t="s">
        <v>214</v>
      </c>
      <c r="D156" s="49" t="s">
        <v>214</v>
      </c>
      <c r="E156" s="49" t="s">
        <v>250</v>
      </c>
      <c r="F156" s="48">
        <v>600</v>
      </c>
      <c r="G156" s="76">
        <v>3042387.4798254715</v>
      </c>
      <c r="H156" s="76">
        <v>0</v>
      </c>
      <c r="I156" s="76">
        <f>G156+H156</f>
        <v>3042387.4798254715</v>
      </c>
      <c r="J156" s="76">
        <v>0</v>
      </c>
      <c r="K156" s="76">
        <f>I156+J156</f>
        <v>3042387.4798254715</v>
      </c>
      <c r="L156" s="76">
        <v>-12467</v>
      </c>
      <c r="M156" s="76">
        <f>K156+L156</f>
        <v>3029920.4798254715</v>
      </c>
      <c r="N156" s="76">
        <v>3103766.1921753325</v>
      </c>
      <c r="O156" s="76">
        <v>0</v>
      </c>
      <c r="P156" s="76">
        <f>N156+O156</f>
        <v>3103766.1921753325</v>
      </c>
      <c r="Q156" s="76">
        <v>0</v>
      </c>
      <c r="R156" s="76">
        <f>P156+Q156</f>
        <v>3103766.1921753325</v>
      </c>
      <c r="S156" s="76">
        <v>3179879.4776981925</v>
      </c>
      <c r="T156" s="76">
        <v>0</v>
      </c>
      <c r="U156" s="76">
        <f>S156+T156</f>
        <v>3179879.4776981925</v>
      </c>
    </row>
    <row r="157" spans="1:21" s="17" customFormat="1">
      <c r="A157" s="39" t="s">
        <v>225</v>
      </c>
      <c r="B157" s="15" t="s">
        <v>9</v>
      </c>
      <c r="C157" s="15" t="s">
        <v>91</v>
      </c>
      <c r="D157" s="15" t="s">
        <v>0</v>
      </c>
      <c r="E157" s="15" t="s">
        <v>0</v>
      </c>
      <c r="F157" s="15" t="s">
        <v>0</v>
      </c>
      <c r="G157" s="38">
        <f t="shared" ref="G157:U158" si="185">G158</f>
        <v>19000830.789999999</v>
      </c>
      <c r="H157" s="38">
        <f t="shared" si="185"/>
        <v>0</v>
      </c>
      <c r="I157" s="38">
        <f t="shared" si="185"/>
        <v>19000830.789999999</v>
      </c>
      <c r="J157" s="38">
        <f t="shared" si="185"/>
        <v>7000000</v>
      </c>
      <c r="K157" s="38">
        <f t="shared" si="185"/>
        <v>26000830.789999999</v>
      </c>
      <c r="L157" s="38">
        <f t="shared" si="185"/>
        <v>1560458.9800000002</v>
      </c>
      <c r="M157" s="38">
        <f t="shared" si="185"/>
        <v>27561289.77</v>
      </c>
      <c r="N157" s="38">
        <f t="shared" si="185"/>
        <v>20307398.990000002</v>
      </c>
      <c r="O157" s="38">
        <f t="shared" si="185"/>
        <v>0</v>
      </c>
      <c r="P157" s="38">
        <f t="shared" si="185"/>
        <v>20307398.990000002</v>
      </c>
      <c r="Q157" s="38">
        <f t="shared" si="185"/>
        <v>0</v>
      </c>
      <c r="R157" s="38">
        <f t="shared" si="185"/>
        <v>20307398.990000002</v>
      </c>
      <c r="S157" s="38">
        <f t="shared" si="185"/>
        <v>20621524.190000001</v>
      </c>
      <c r="T157" s="38">
        <f t="shared" si="185"/>
        <v>0</v>
      </c>
      <c r="U157" s="38">
        <f t="shared" si="185"/>
        <v>20621524.190000001</v>
      </c>
    </row>
    <row r="158" spans="1:21" s="17" customFormat="1">
      <c r="A158" s="14" t="s">
        <v>216</v>
      </c>
      <c r="B158" s="15" t="s">
        <v>9</v>
      </c>
      <c r="C158" s="15" t="s">
        <v>91</v>
      </c>
      <c r="D158" s="15" t="s">
        <v>31</v>
      </c>
      <c r="E158" s="15" t="s">
        <v>0</v>
      </c>
      <c r="F158" s="15" t="s">
        <v>0</v>
      </c>
      <c r="G158" s="38">
        <f t="shared" si="185"/>
        <v>19000830.789999999</v>
      </c>
      <c r="H158" s="38">
        <f t="shared" si="185"/>
        <v>0</v>
      </c>
      <c r="I158" s="38">
        <f t="shared" si="185"/>
        <v>19000830.789999999</v>
      </c>
      <c r="J158" s="38">
        <f t="shared" si="185"/>
        <v>7000000</v>
      </c>
      <c r="K158" s="38">
        <f t="shared" si="185"/>
        <v>26000830.789999999</v>
      </c>
      <c r="L158" s="38">
        <f t="shared" si="185"/>
        <v>1560458.9800000002</v>
      </c>
      <c r="M158" s="38">
        <f t="shared" si="185"/>
        <v>27561289.77</v>
      </c>
      <c r="N158" s="38">
        <f t="shared" si="185"/>
        <v>20307398.990000002</v>
      </c>
      <c r="O158" s="38">
        <f t="shared" si="185"/>
        <v>0</v>
      </c>
      <c r="P158" s="38">
        <f t="shared" si="185"/>
        <v>20307398.990000002</v>
      </c>
      <c r="Q158" s="38">
        <f t="shared" si="185"/>
        <v>0</v>
      </c>
      <c r="R158" s="38">
        <f t="shared" si="185"/>
        <v>20307398.990000002</v>
      </c>
      <c r="S158" s="38">
        <f t="shared" si="185"/>
        <v>20621524.190000001</v>
      </c>
      <c r="T158" s="38">
        <f t="shared" si="185"/>
        <v>0</v>
      </c>
      <c r="U158" s="38">
        <f t="shared" si="185"/>
        <v>20621524.190000001</v>
      </c>
    </row>
    <row r="159" spans="1:21" s="17" customFormat="1">
      <c r="A159" s="39" t="s">
        <v>210</v>
      </c>
      <c r="B159" s="15" t="s">
        <v>9</v>
      </c>
      <c r="C159" s="15" t="s">
        <v>91</v>
      </c>
      <c r="D159" s="15" t="s">
        <v>31</v>
      </c>
      <c r="E159" s="40" t="s">
        <v>252</v>
      </c>
      <c r="F159" s="40" t="s">
        <v>0</v>
      </c>
      <c r="G159" s="41">
        <f t="shared" ref="G159:U160" si="186">G160</f>
        <v>19000830.789999999</v>
      </c>
      <c r="H159" s="41">
        <f t="shared" si="186"/>
        <v>0</v>
      </c>
      <c r="I159" s="41">
        <f t="shared" si="186"/>
        <v>19000830.789999999</v>
      </c>
      <c r="J159" s="41">
        <f t="shared" si="186"/>
        <v>7000000</v>
      </c>
      <c r="K159" s="41">
        <f t="shared" si="186"/>
        <v>26000830.789999999</v>
      </c>
      <c r="L159" s="41">
        <f t="shared" si="186"/>
        <v>1560458.9800000002</v>
      </c>
      <c r="M159" s="41">
        <f t="shared" si="186"/>
        <v>27561289.77</v>
      </c>
      <c r="N159" s="41">
        <f t="shared" si="186"/>
        <v>20307398.990000002</v>
      </c>
      <c r="O159" s="41">
        <f t="shared" si="186"/>
        <v>0</v>
      </c>
      <c r="P159" s="41">
        <f t="shared" si="186"/>
        <v>20307398.990000002</v>
      </c>
      <c r="Q159" s="41">
        <f t="shared" si="186"/>
        <v>0</v>
      </c>
      <c r="R159" s="41">
        <f t="shared" si="186"/>
        <v>20307398.990000002</v>
      </c>
      <c r="S159" s="41">
        <f t="shared" si="186"/>
        <v>20621524.190000001</v>
      </c>
      <c r="T159" s="41">
        <f t="shared" si="186"/>
        <v>0</v>
      </c>
      <c r="U159" s="41">
        <f t="shared" si="186"/>
        <v>20621524.190000001</v>
      </c>
    </row>
    <row r="160" spans="1:21" s="17" customFormat="1" ht="27">
      <c r="A160" s="42" t="s">
        <v>124</v>
      </c>
      <c r="B160" s="19" t="s">
        <v>9</v>
      </c>
      <c r="C160" s="19" t="s">
        <v>91</v>
      </c>
      <c r="D160" s="19" t="s">
        <v>31</v>
      </c>
      <c r="E160" s="43" t="s">
        <v>253</v>
      </c>
      <c r="F160" s="43" t="s">
        <v>0</v>
      </c>
      <c r="G160" s="44">
        <f t="shared" si="186"/>
        <v>19000830.789999999</v>
      </c>
      <c r="H160" s="44">
        <f t="shared" si="186"/>
        <v>0</v>
      </c>
      <c r="I160" s="44">
        <f t="shared" si="186"/>
        <v>19000830.789999999</v>
      </c>
      <c r="J160" s="44">
        <f t="shared" si="186"/>
        <v>7000000</v>
      </c>
      <c r="K160" s="44">
        <f t="shared" si="186"/>
        <v>26000830.789999999</v>
      </c>
      <c r="L160" s="44">
        <f t="shared" si="186"/>
        <v>1560458.9800000002</v>
      </c>
      <c r="M160" s="44">
        <f t="shared" si="186"/>
        <v>27561289.77</v>
      </c>
      <c r="N160" s="44">
        <f t="shared" si="186"/>
        <v>20307398.990000002</v>
      </c>
      <c r="O160" s="44">
        <f t="shared" si="186"/>
        <v>0</v>
      </c>
      <c r="P160" s="44">
        <f t="shared" si="186"/>
        <v>20307398.990000002</v>
      </c>
      <c r="Q160" s="44">
        <f t="shared" si="186"/>
        <v>0</v>
      </c>
      <c r="R160" s="44">
        <f t="shared" si="186"/>
        <v>20307398.990000002</v>
      </c>
      <c r="S160" s="44">
        <f t="shared" si="186"/>
        <v>20621524.190000001</v>
      </c>
      <c r="T160" s="44">
        <f t="shared" si="186"/>
        <v>0</v>
      </c>
      <c r="U160" s="44">
        <f t="shared" si="186"/>
        <v>20621524.190000001</v>
      </c>
    </row>
    <row r="161" spans="1:21" s="17" customFormat="1" ht="25.5">
      <c r="A161" s="47" t="s">
        <v>251</v>
      </c>
      <c r="B161" s="49" t="s">
        <v>9</v>
      </c>
      <c r="C161" s="49" t="s">
        <v>91</v>
      </c>
      <c r="D161" s="49" t="s">
        <v>31</v>
      </c>
      <c r="E161" s="49" t="s">
        <v>253</v>
      </c>
      <c r="F161" s="48">
        <v>600</v>
      </c>
      <c r="G161" s="76">
        <v>19000830.789999999</v>
      </c>
      <c r="H161" s="76">
        <v>0</v>
      </c>
      <c r="I161" s="76">
        <f>G161+H161</f>
        <v>19000830.789999999</v>
      </c>
      <c r="J161" s="76">
        <f>6000000+1000000</f>
        <v>7000000</v>
      </c>
      <c r="K161" s="76">
        <f>I161+J161</f>
        <v>26000830.789999999</v>
      </c>
      <c r="L161" s="76">
        <f>2507227.2-946768.22</f>
        <v>1560458.9800000002</v>
      </c>
      <c r="M161" s="76">
        <f>K161+L161</f>
        <v>27561289.77</v>
      </c>
      <c r="N161" s="76">
        <v>20307398.990000002</v>
      </c>
      <c r="O161" s="76">
        <v>0</v>
      </c>
      <c r="P161" s="76">
        <f>N161+O161</f>
        <v>20307398.990000002</v>
      </c>
      <c r="Q161" s="76">
        <v>0</v>
      </c>
      <c r="R161" s="76">
        <f>P161+Q161</f>
        <v>20307398.990000002</v>
      </c>
      <c r="S161" s="76">
        <v>20621524.190000001</v>
      </c>
      <c r="T161" s="76">
        <v>0</v>
      </c>
      <c r="U161" s="76">
        <f>S161+T161</f>
        <v>20621524.190000001</v>
      </c>
    </row>
    <row r="162" spans="1:21" s="17" customFormat="1" ht="16.5" customHeight="1">
      <c r="A162" s="14" t="s">
        <v>229</v>
      </c>
      <c r="B162" s="15" t="s">
        <v>9</v>
      </c>
      <c r="C162" s="15" t="s">
        <v>115</v>
      </c>
      <c r="D162" s="15" t="s">
        <v>0</v>
      </c>
      <c r="E162" s="15" t="s">
        <v>0</v>
      </c>
      <c r="F162" s="15" t="s">
        <v>0</v>
      </c>
      <c r="G162" s="16">
        <f t="shared" ref="G162:U162" si="187">G163+G168+G181</f>
        <v>12167209</v>
      </c>
      <c r="H162" s="16">
        <f t="shared" si="187"/>
        <v>2602580</v>
      </c>
      <c r="I162" s="16">
        <f t="shared" si="187"/>
        <v>14769789</v>
      </c>
      <c r="J162" s="16">
        <f t="shared" ref="J162:K162" si="188">J163+J168+J181</f>
        <v>-200000</v>
      </c>
      <c r="K162" s="16">
        <f t="shared" si="188"/>
        <v>14569789</v>
      </c>
      <c r="L162" s="16">
        <f t="shared" ref="L162:M162" si="189">L163+L168+L181</f>
        <v>167534</v>
      </c>
      <c r="M162" s="16">
        <f t="shared" si="189"/>
        <v>14737323</v>
      </c>
      <c r="N162" s="16">
        <f t="shared" si="187"/>
        <v>15640848.699999999</v>
      </c>
      <c r="O162" s="16">
        <f t="shared" si="187"/>
        <v>0</v>
      </c>
      <c r="P162" s="16">
        <f t="shared" si="187"/>
        <v>15640848.699999999</v>
      </c>
      <c r="Q162" s="16">
        <f t="shared" ref="Q162:R162" si="190">Q163+Q168+Q181</f>
        <v>0</v>
      </c>
      <c r="R162" s="16">
        <f t="shared" si="190"/>
        <v>15640848.699999999</v>
      </c>
      <c r="S162" s="16">
        <f t="shared" si="187"/>
        <v>15640848.699999999</v>
      </c>
      <c r="T162" s="16">
        <f t="shared" si="187"/>
        <v>0</v>
      </c>
      <c r="U162" s="16">
        <f t="shared" si="187"/>
        <v>15640848.699999999</v>
      </c>
    </row>
    <row r="163" spans="1:21" s="17" customFormat="1">
      <c r="A163" s="14" t="s">
        <v>116</v>
      </c>
      <c r="B163" s="15" t="s">
        <v>9</v>
      </c>
      <c r="C163" s="15" t="s">
        <v>115</v>
      </c>
      <c r="D163" s="15" t="s">
        <v>10</v>
      </c>
      <c r="E163" s="15" t="s">
        <v>0</v>
      </c>
      <c r="F163" s="15" t="s">
        <v>0</v>
      </c>
      <c r="G163" s="16">
        <f t="shared" ref="G163:M166" si="191">G164</f>
        <v>1500000</v>
      </c>
      <c r="H163" s="16">
        <f t="shared" si="191"/>
        <v>0</v>
      </c>
      <c r="I163" s="16">
        <f t="shared" si="191"/>
        <v>1500000</v>
      </c>
      <c r="J163" s="16">
        <f t="shared" si="191"/>
        <v>0</v>
      </c>
      <c r="K163" s="16">
        <f t="shared" si="191"/>
        <v>1500000</v>
      </c>
      <c r="L163" s="16">
        <f t="shared" si="191"/>
        <v>0</v>
      </c>
      <c r="M163" s="16">
        <f t="shared" si="191"/>
        <v>1500000</v>
      </c>
      <c r="N163" s="16">
        <f t="shared" ref="N163:U166" si="192">N164</f>
        <v>1500000</v>
      </c>
      <c r="O163" s="16">
        <f t="shared" si="192"/>
        <v>0</v>
      </c>
      <c r="P163" s="16">
        <f t="shared" si="192"/>
        <v>1500000</v>
      </c>
      <c r="Q163" s="16">
        <f t="shared" si="192"/>
        <v>0</v>
      </c>
      <c r="R163" s="16">
        <f t="shared" si="192"/>
        <v>1500000</v>
      </c>
      <c r="S163" s="16">
        <f t="shared" si="192"/>
        <v>1500000</v>
      </c>
      <c r="T163" s="16">
        <f t="shared" si="192"/>
        <v>0</v>
      </c>
      <c r="U163" s="16">
        <f t="shared" si="192"/>
        <v>1500000</v>
      </c>
    </row>
    <row r="164" spans="1:21" s="17" customFormat="1">
      <c r="A164" s="14" t="s">
        <v>117</v>
      </c>
      <c r="B164" s="15" t="s">
        <v>9</v>
      </c>
      <c r="C164" s="15" t="s">
        <v>115</v>
      </c>
      <c r="D164" s="15" t="s">
        <v>10</v>
      </c>
      <c r="E164" s="15" t="s">
        <v>118</v>
      </c>
      <c r="F164" s="15" t="s">
        <v>0</v>
      </c>
      <c r="G164" s="16">
        <f t="shared" si="191"/>
        <v>1500000</v>
      </c>
      <c r="H164" s="16">
        <f t="shared" si="191"/>
        <v>0</v>
      </c>
      <c r="I164" s="16">
        <f t="shared" si="191"/>
        <v>1500000</v>
      </c>
      <c r="J164" s="16">
        <f t="shared" si="191"/>
        <v>0</v>
      </c>
      <c r="K164" s="16">
        <f t="shared" si="191"/>
        <v>1500000</v>
      </c>
      <c r="L164" s="16">
        <f t="shared" si="191"/>
        <v>0</v>
      </c>
      <c r="M164" s="16">
        <f t="shared" si="191"/>
        <v>1500000</v>
      </c>
      <c r="N164" s="16">
        <f t="shared" si="192"/>
        <v>1500000</v>
      </c>
      <c r="O164" s="16">
        <f t="shared" si="192"/>
        <v>0</v>
      </c>
      <c r="P164" s="16">
        <f t="shared" si="192"/>
        <v>1500000</v>
      </c>
      <c r="Q164" s="16">
        <f t="shared" si="192"/>
        <v>0</v>
      </c>
      <c r="R164" s="16">
        <f t="shared" si="192"/>
        <v>1500000</v>
      </c>
      <c r="S164" s="16">
        <f t="shared" si="192"/>
        <v>1500000</v>
      </c>
      <c r="T164" s="16">
        <f t="shared" si="192"/>
        <v>0</v>
      </c>
      <c r="U164" s="16">
        <f t="shared" si="192"/>
        <v>1500000</v>
      </c>
    </row>
    <row r="165" spans="1:21" s="17" customFormat="1">
      <c r="A165" s="14" t="s">
        <v>119</v>
      </c>
      <c r="B165" s="15" t="s">
        <v>9</v>
      </c>
      <c r="C165" s="15" t="s">
        <v>115</v>
      </c>
      <c r="D165" s="15" t="s">
        <v>10</v>
      </c>
      <c r="E165" s="15" t="s">
        <v>120</v>
      </c>
      <c r="F165" s="15" t="s">
        <v>0</v>
      </c>
      <c r="G165" s="16">
        <f t="shared" si="191"/>
        <v>1500000</v>
      </c>
      <c r="H165" s="16">
        <f t="shared" si="191"/>
        <v>0</v>
      </c>
      <c r="I165" s="16">
        <f t="shared" si="191"/>
        <v>1500000</v>
      </c>
      <c r="J165" s="16">
        <f t="shared" si="191"/>
        <v>0</v>
      </c>
      <c r="K165" s="16">
        <f t="shared" si="191"/>
        <v>1500000</v>
      </c>
      <c r="L165" s="16">
        <f t="shared" si="191"/>
        <v>0</v>
      </c>
      <c r="M165" s="16">
        <f t="shared" si="191"/>
        <v>1500000</v>
      </c>
      <c r="N165" s="16">
        <f t="shared" si="192"/>
        <v>1500000</v>
      </c>
      <c r="O165" s="16">
        <f t="shared" si="192"/>
        <v>0</v>
      </c>
      <c r="P165" s="16">
        <f t="shared" si="192"/>
        <v>1500000</v>
      </c>
      <c r="Q165" s="16">
        <f t="shared" si="192"/>
        <v>0</v>
      </c>
      <c r="R165" s="16">
        <f t="shared" si="192"/>
        <v>1500000</v>
      </c>
      <c r="S165" s="16">
        <f t="shared" si="192"/>
        <v>1500000</v>
      </c>
      <c r="T165" s="16">
        <f t="shared" si="192"/>
        <v>0</v>
      </c>
      <c r="U165" s="16">
        <f t="shared" si="192"/>
        <v>1500000</v>
      </c>
    </row>
    <row r="166" spans="1:21" s="17" customFormat="1" ht="24.75" customHeight="1">
      <c r="A166" s="18" t="s">
        <v>121</v>
      </c>
      <c r="B166" s="19" t="s">
        <v>9</v>
      </c>
      <c r="C166" s="19" t="s">
        <v>115</v>
      </c>
      <c r="D166" s="19" t="s">
        <v>10</v>
      </c>
      <c r="E166" s="19" t="s">
        <v>122</v>
      </c>
      <c r="F166" s="19" t="s">
        <v>0</v>
      </c>
      <c r="G166" s="20">
        <f t="shared" si="191"/>
        <v>1500000</v>
      </c>
      <c r="H166" s="20">
        <f t="shared" si="191"/>
        <v>0</v>
      </c>
      <c r="I166" s="20">
        <f t="shared" si="191"/>
        <v>1500000</v>
      </c>
      <c r="J166" s="20">
        <f t="shared" si="191"/>
        <v>0</v>
      </c>
      <c r="K166" s="20">
        <f t="shared" si="191"/>
        <v>1500000</v>
      </c>
      <c r="L166" s="20">
        <f t="shared" si="191"/>
        <v>0</v>
      </c>
      <c r="M166" s="20">
        <f t="shared" si="191"/>
        <v>1500000</v>
      </c>
      <c r="N166" s="20">
        <f t="shared" si="192"/>
        <v>1500000</v>
      </c>
      <c r="O166" s="20">
        <f t="shared" si="192"/>
        <v>0</v>
      </c>
      <c r="P166" s="20">
        <f t="shared" si="192"/>
        <v>1500000</v>
      </c>
      <c r="Q166" s="20">
        <f t="shared" si="192"/>
        <v>0</v>
      </c>
      <c r="R166" s="20">
        <f t="shared" si="192"/>
        <v>1500000</v>
      </c>
      <c r="S166" s="20">
        <f>S167</f>
        <v>1500000</v>
      </c>
      <c r="T166" s="20">
        <f t="shared" si="192"/>
        <v>0</v>
      </c>
      <c r="U166" s="20">
        <f t="shared" si="192"/>
        <v>1500000</v>
      </c>
    </row>
    <row r="167" spans="1:21" s="17" customFormat="1">
      <c r="A167" s="21" t="s">
        <v>72</v>
      </c>
      <c r="B167" s="22" t="s">
        <v>9</v>
      </c>
      <c r="C167" s="22" t="s">
        <v>115</v>
      </c>
      <c r="D167" s="22" t="s">
        <v>10</v>
      </c>
      <c r="E167" s="22" t="s">
        <v>122</v>
      </c>
      <c r="F167" s="22" t="s">
        <v>73</v>
      </c>
      <c r="G167" s="46">
        <v>1500000</v>
      </c>
      <c r="H167" s="46">
        <v>0</v>
      </c>
      <c r="I167" s="46">
        <f>G167+H167</f>
        <v>1500000</v>
      </c>
      <c r="J167" s="46">
        <v>0</v>
      </c>
      <c r="K167" s="46">
        <f>I167+J167</f>
        <v>1500000</v>
      </c>
      <c r="L167" s="46">
        <v>0</v>
      </c>
      <c r="M167" s="46">
        <f>K167+L167</f>
        <v>1500000</v>
      </c>
      <c r="N167" s="46">
        <v>1500000</v>
      </c>
      <c r="O167" s="46">
        <v>0</v>
      </c>
      <c r="P167" s="46">
        <f>N167+O167</f>
        <v>1500000</v>
      </c>
      <c r="Q167" s="46">
        <v>0</v>
      </c>
      <c r="R167" s="46">
        <f>P167+Q167</f>
        <v>1500000</v>
      </c>
      <c r="S167" s="46">
        <v>1500000</v>
      </c>
      <c r="T167" s="46">
        <v>0</v>
      </c>
      <c r="U167" s="46">
        <f>S167+T167</f>
        <v>1500000</v>
      </c>
    </row>
    <row r="168" spans="1:21" s="17" customFormat="1" outlineLevel="1">
      <c r="A168" s="14" t="s">
        <v>123</v>
      </c>
      <c r="B168" s="15" t="s">
        <v>9</v>
      </c>
      <c r="C168" s="15" t="s">
        <v>115</v>
      </c>
      <c r="D168" s="15" t="s">
        <v>12</v>
      </c>
      <c r="E168" s="15" t="s">
        <v>0</v>
      </c>
      <c r="F168" s="15" t="s">
        <v>0</v>
      </c>
      <c r="G168" s="52">
        <f t="shared" ref="G168:U169" si="193">G169</f>
        <v>3180683</v>
      </c>
      <c r="H168" s="52">
        <f t="shared" si="193"/>
        <v>200000</v>
      </c>
      <c r="I168" s="52">
        <f t="shared" si="193"/>
        <v>3380683</v>
      </c>
      <c r="J168" s="52">
        <f t="shared" si="193"/>
        <v>-200000</v>
      </c>
      <c r="K168" s="52">
        <f t="shared" si="193"/>
        <v>3180683</v>
      </c>
      <c r="L168" s="52">
        <f t="shared" si="193"/>
        <v>0</v>
      </c>
      <c r="M168" s="52">
        <f t="shared" si="193"/>
        <v>3180683</v>
      </c>
      <c r="N168" s="52">
        <f t="shared" si="193"/>
        <v>6429726.7000000002</v>
      </c>
      <c r="O168" s="52">
        <f t="shared" si="193"/>
        <v>0</v>
      </c>
      <c r="P168" s="52">
        <f t="shared" si="193"/>
        <v>6429726.7000000002</v>
      </c>
      <c r="Q168" s="52">
        <f t="shared" si="193"/>
        <v>0</v>
      </c>
      <c r="R168" s="52">
        <f t="shared" si="193"/>
        <v>6429726.7000000002</v>
      </c>
      <c r="S168" s="52">
        <f t="shared" si="193"/>
        <v>6429726.7000000002</v>
      </c>
      <c r="T168" s="52">
        <f t="shared" si="193"/>
        <v>0</v>
      </c>
      <c r="U168" s="52">
        <f t="shared" si="193"/>
        <v>6429726.7000000002</v>
      </c>
    </row>
    <row r="169" spans="1:21" s="17" customFormat="1" ht="25.5" outlineLevel="1">
      <c r="A169" s="14" t="s">
        <v>94</v>
      </c>
      <c r="B169" s="15" t="s">
        <v>9</v>
      </c>
      <c r="C169" s="15" t="s">
        <v>115</v>
      </c>
      <c r="D169" s="15" t="s">
        <v>12</v>
      </c>
      <c r="E169" s="15" t="s">
        <v>95</v>
      </c>
      <c r="F169" s="15" t="s">
        <v>0</v>
      </c>
      <c r="G169" s="52">
        <f t="shared" si="193"/>
        <v>3180683</v>
      </c>
      <c r="H169" s="52">
        <f t="shared" si="193"/>
        <v>200000</v>
      </c>
      <c r="I169" s="52">
        <f t="shared" si="193"/>
        <v>3380683</v>
      </c>
      <c r="J169" s="52">
        <f t="shared" si="193"/>
        <v>-200000</v>
      </c>
      <c r="K169" s="52">
        <f t="shared" si="193"/>
        <v>3180683</v>
      </c>
      <c r="L169" s="52">
        <f t="shared" si="193"/>
        <v>0</v>
      </c>
      <c r="M169" s="52">
        <f t="shared" si="193"/>
        <v>3180683</v>
      </c>
      <c r="N169" s="52">
        <f t="shared" si="193"/>
        <v>6429726.7000000002</v>
      </c>
      <c r="O169" s="52">
        <f t="shared" si="193"/>
        <v>0</v>
      </c>
      <c r="P169" s="52">
        <f t="shared" si="193"/>
        <v>6429726.7000000002</v>
      </c>
      <c r="Q169" s="52">
        <f t="shared" si="193"/>
        <v>0</v>
      </c>
      <c r="R169" s="52">
        <f t="shared" si="193"/>
        <v>6429726.7000000002</v>
      </c>
      <c r="S169" s="52">
        <f t="shared" si="193"/>
        <v>6429726.7000000002</v>
      </c>
      <c r="T169" s="52">
        <f t="shared" si="193"/>
        <v>0</v>
      </c>
      <c r="U169" s="52">
        <f t="shared" si="193"/>
        <v>6429726.7000000002</v>
      </c>
    </row>
    <row r="170" spans="1:21" s="17" customFormat="1" outlineLevel="1">
      <c r="A170" s="14" t="s">
        <v>111</v>
      </c>
      <c r="B170" s="15" t="s">
        <v>9</v>
      </c>
      <c r="C170" s="15" t="s">
        <v>115</v>
      </c>
      <c r="D170" s="15" t="s">
        <v>12</v>
      </c>
      <c r="E170" s="15" t="s">
        <v>112</v>
      </c>
      <c r="F170" s="15" t="s">
        <v>0</v>
      </c>
      <c r="G170" s="52">
        <f t="shared" ref="G170:U170" si="194">G171+G174+G177+G179</f>
        <v>3180683</v>
      </c>
      <c r="H170" s="52">
        <f t="shared" si="194"/>
        <v>200000</v>
      </c>
      <c r="I170" s="52">
        <f t="shared" si="194"/>
        <v>3380683</v>
      </c>
      <c r="J170" s="52">
        <f t="shared" ref="J170:K170" si="195">J171+J174+J177+J179</f>
        <v>-200000</v>
      </c>
      <c r="K170" s="52">
        <f t="shared" si="195"/>
        <v>3180683</v>
      </c>
      <c r="L170" s="52">
        <f t="shared" ref="L170:M170" si="196">L171+L174+L177+L179</f>
        <v>0</v>
      </c>
      <c r="M170" s="52">
        <f t="shared" si="196"/>
        <v>3180683</v>
      </c>
      <c r="N170" s="52">
        <f t="shared" si="194"/>
        <v>6429726.7000000002</v>
      </c>
      <c r="O170" s="52">
        <f t="shared" si="194"/>
        <v>0</v>
      </c>
      <c r="P170" s="52">
        <f t="shared" si="194"/>
        <v>6429726.7000000002</v>
      </c>
      <c r="Q170" s="52">
        <f t="shared" ref="Q170:R170" si="197">Q171+Q174+Q177+Q179</f>
        <v>0</v>
      </c>
      <c r="R170" s="52">
        <f t="shared" si="197"/>
        <v>6429726.7000000002</v>
      </c>
      <c r="S170" s="52">
        <f t="shared" si="194"/>
        <v>6429726.7000000002</v>
      </c>
      <c r="T170" s="52">
        <f t="shared" si="194"/>
        <v>0</v>
      </c>
      <c r="U170" s="52">
        <f t="shared" si="194"/>
        <v>6429726.7000000002</v>
      </c>
    </row>
    <row r="171" spans="1:21" s="17" customFormat="1" ht="13.5" outlineLevel="1">
      <c r="A171" s="18" t="s">
        <v>136</v>
      </c>
      <c r="B171" s="19" t="s">
        <v>9</v>
      </c>
      <c r="C171" s="19" t="s">
        <v>115</v>
      </c>
      <c r="D171" s="19" t="s">
        <v>12</v>
      </c>
      <c r="E171" s="19" t="s">
        <v>137</v>
      </c>
      <c r="F171" s="19" t="s">
        <v>0</v>
      </c>
      <c r="G171" s="33">
        <f t="shared" ref="G171:U171" si="198">G172+G173</f>
        <v>0</v>
      </c>
      <c r="H171" s="33">
        <f t="shared" si="198"/>
        <v>0</v>
      </c>
      <c r="I171" s="33">
        <f t="shared" si="198"/>
        <v>0</v>
      </c>
      <c r="J171" s="33">
        <f t="shared" ref="J171:K171" si="199">J172+J173</f>
        <v>0</v>
      </c>
      <c r="K171" s="33">
        <f t="shared" si="199"/>
        <v>0</v>
      </c>
      <c r="L171" s="33">
        <f t="shared" ref="L171:M171" si="200">L172+L173</f>
        <v>0</v>
      </c>
      <c r="M171" s="33">
        <f t="shared" si="200"/>
        <v>0</v>
      </c>
      <c r="N171" s="33">
        <f t="shared" si="198"/>
        <v>3249043.7</v>
      </c>
      <c r="O171" s="33">
        <f t="shared" si="198"/>
        <v>0</v>
      </c>
      <c r="P171" s="33">
        <f t="shared" si="198"/>
        <v>3249043.7</v>
      </c>
      <c r="Q171" s="33">
        <f t="shared" ref="Q171:R171" si="201">Q172+Q173</f>
        <v>0</v>
      </c>
      <c r="R171" s="33">
        <f t="shared" si="201"/>
        <v>3249043.7</v>
      </c>
      <c r="S171" s="33">
        <f t="shared" si="198"/>
        <v>3249043.7</v>
      </c>
      <c r="T171" s="33">
        <f t="shared" si="198"/>
        <v>0</v>
      </c>
      <c r="U171" s="33">
        <f t="shared" si="198"/>
        <v>3249043.7</v>
      </c>
    </row>
    <row r="172" spans="1:21" s="17" customFormat="1" outlineLevel="1">
      <c r="A172" s="21" t="s">
        <v>72</v>
      </c>
      <c r="B172" s="22" t="s">
        <v>9</v>
      </c>
      <c r="C172" s="22" t="s">
        <v>115</v>
      </c>
      <c r="D172" s="22" t="s">
        <v>12</v>
      </c>
      <c r="E172" s="22" t="s">
        <v>137</v>
      </c>
      <c r="F172" s="22" t="s">
        <v>73</v>
      </c>
      <c r="G172" s="46">
        <v>0</v>
      </c>
      <c r="H172" s="46">
        <v>0</v>
      </c>
      <c r="I172" s="46">
        <f>G172+H172</f>
        <v>0</v>
      </c>
      <c r="J172" s="46">
        <v>0</v>
      </c>
      <c r="K172" s="46">
        <f>I172+J172</f>
        <v>0</v>
      </c>
      <c r="L172" s="46">
        <v>0</v>
      </c>
      <c r="M172" s="46">
        <f>K172+L172</f>
        <v>0</v>
      </c>
      <c r="N172" s="46">
        <v>500000</v>
      </c>
      <c r="O172" s="46">
        <v>0</v>
      </c>
      <c r="P172" s="46">
        <f>N172+O172</f>
        <v>500000</v>
      </c>
      <c r="Q172" s="46">
        <v>0</v>
      </c>
      <c r="R172" s="46">
        <f>P172+Q172</f>
        <v>500000</v>
      </c>
      <c r="S172" s="46">
        <v>500000</v>
      </c>
      <c r="T172" s="46">
        <v>0</v>
      </c>
      <c r="U172" s="46">
        <f>S172+T172</f>
        <v>500000</v>
      </c>
    </row>
    <row r="173" spans="1:21" s="17" customFormat="1" ht="13.5" customHeight="1" outlineLevel="1">
      <c r="A173" s="21" t="s">
        <v>38</v>
      </c>
      <c r="B173" s="22" t="s">
        <v>9</v>
      </c>
      <c r="C173" s="22" t="s">
        <v>115</v>
      </c>
      <c r="D173" s="22" t="s">
        <v>12</v>
      </c>
      <c r="E173" s="22" t="s">
        <v>137</v>
      </c>
      <c r="F173" s="22" t="s">
        <v>39</v>
      </c>
      <c r="G173" s="46">
        <v>0</v>
      </c>
      <c r="H173" s="46">
        <v>0</v>
      </c>
      <c r="I173" s="46">
        <f>G173+H173</f>
        <v>0</v>
      </c>
      <c r="J173" s="46">
        <v>0</v>
      </c>
      <c r="K173" s="46">
        <f>I173+J173</f>
        <v>0</v>
      </c>
      <c r="L173" s="46">
        <v>0</v>
      </c>
      <c r="M173" s="46">
        <f>K173+L173</f>
        <v>0</v>
      </c>
      <c r="N173" s="46">
        <v>2749043.7</v>
      </c>
      <c r="O173" s="46">
        <v>0</v>
      </c>
      <c r="P173" s="46">
        <f>N173+O173</f>
        <v>2749043.7</v>
      </c>
      <c r="Q173" s="46">
        <v>0</v>
      </c>
      <c r="R173" s="46">
        <f>P173+Q173</f>
        <v>2749043.7</v>
      </c>
      <c r="S173" s="46">
        <v>2749043.7</v>
      </c>
      <c r="T173" s="46">
        <v>0</v>
      </c>
      <c r="U173" s="46">
        <f>S173+T173</f>
        <v>2749043.7</v>
      </c>
    </row>
    <row r="174" spans="1:21" s="17" customFormat="1" ht="27" outlineLevel="2">
      <c r="A174" s="18" t="s">
        <v>138</v>
      </c>
      <c r="B174" s="19" t="s">
        <v>9</v>
      </c>
      <c r="C174" s="19" t="s">
        <v>115</v>
      </c>
      <c r="D174" s="19" t="s">
        <v>12</v>
      </c>
      <c r="E174" s="19" t="s">
        <v>139</v>
      </c>
      <c r="F174" s="19" t="s">
        <v>0</v>
      </c>
      <c r="G174" s="33">
        <f t="shared" ref="G174:U174" si="202">G175+G176</f>
        <v>0</v>
      </c>
      <c r="H174" s="33">
        <f t="shared" si="202"/>
        <v>200000</v>
      </c>
      <c r="I174" s="33">
        <f t="shared" si="202"/>
        <v>200000</v>
      </c>
      <c r="J174" s="33">
        <f t="shared" ref="J174:K174" si="203">J175+J176</f>
        <v>-200000</v>
      </c>
      <c r="K174" s="33">
        <f t="shared" si="203"/>
        <v>0</v>
      </c>
      <c r="L174" s="33">
        <f t="shared" ref="L174:M174" si="204">L175+L176</f>
        <v>0</v>
      </c>
      <c r="M174" s="33">
        <f t="shared" si="204"/>
        <v>0</v>
      </c>
      <c r="N174" s="33">
        <f t="shared" si="202"/>
        <v>0</v>
      </c>
      <c r="O174" s="33">
        <f t="shared" si="202"/>
        <v>0</v>
      </c>
      <c r="P174" s="33">
        <f t="shared" si="202"/>
        <v>0</v>
      </c>
      <c r="Q174" s="33">
        <f t="shared" ref="Q174:R174" si="205">Q175+Q176</f>
        <v>0</v>
      </c>
      <c r="R174" s="33">
        <f t="shared" si="205"/>
        <v>0</v>
      </c>
      <c r="S174" s="33">
        <f t="shared" si="202"/>
        <v>0</v>
      </c>
      <c r="T174" s="33">
        <f t="shared" si="202"/>
        <v>0</v>
      </c>
      <c r="U174" s="33">
        <f t="shared" si="202"/>
        <v>0</v>
      </c>
    </row>
    <row r="175" spans="1:21" s="17" customFormat="1" outlineLevel="2">
      <c r="A175" s="21" t="s">
        <v>21</v>
      </c>
      <c r="B175" s="22" t="s">
        <v>9</v>
      </c>
      <c r="C175" s="22" t="s">
        <v>115</v>
      </c>
      <c r="D175" s="22" t="s">
        <v>12</v>
      </c>
      <c r="E175" s="22" t="s">
        <v>139</v>
      </c>
      <c r="F175" s="22" t="s">
        <v>22</v>
      </c>
      <c r="G175" s="46">
        <v>0</v>
      </c>
      <c r="H175" s="46">
        <v>200000</v>
      </c>
      <c r="I175" s="46">
        <f>G175+H175</f>
        <v>200000</v>
      </c>
      <c r="J175" s="46">
        <f>-116000-84000</f>
        <v>-200000</v>
      </c>
      <c r="K175" s="46">
        <f>I175+J175</f>
        <v>0</v>
      </c>
      <c r="L175" s="46">
        <v>0</v>
      </c>
      <c r="M175" s="46">
        <f>K175+L175</f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</row>
    <row r="176" spans="1:21" s="17" customFormat="1" outlineLevel="2">
      <c r="A176" s="21" t="s">
        <v>38</v>
      </c>
      <c r="B176" s="22" t="s">
        <v>9</v>
      </c>
      <c r="C176" s="22" t="s">
        <v>115</v>
      </c>
      <c r="D176" s="22" t="s">
        <v>12</v>
      </c>
      <c r="E176" s="22" t="s">
        <v>139</v>
      </c>
      <c r="F176" s="22" t="s">
        <v>39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</row>
    <row r="177" spans="1:21" s="17" customFormat="1" ht="13.5" outlineLevel="2">
      <c r="A177" s="18" t="s">
        <v>254</v>
      </c>
      <c r="B177" s="19" t="s">
        <v>9</v>
      </c>
      <c r="C177" s="19" t="s">
        <v>115</v>
      </c>
      <c r="D177" s="19" t="s">
        <v>12</v>
      </c>
      <c r="E177" s="19" t="s">
        <v>140</v>
      </c>
      <c r="F177" s="19" t="s">
        <v>0</v>
      </c>
      <c r="G177" s="33">
        <f t="shared" ref="G177:U179" si="206">G178</f>
        <v>0</v>
      </c>
      <c r="H177" s="33">
        <f t="shared" si="206"/>
        <v>0</v>
      </c>
      <c r="I177" s="33">
        <f t="shared" si="206"/>
        <v>0</v>
      </c>
      <c r="J177" s="33">
        <f t="shared" si="206"/>
        <v>0</v>
      </c>
      <c r="K177" s="33">
        <f t="shared" si="206"/>
        <v>0</v>
      </c>
      <c r="L177" s="33">
        <f t="shared" si="206"/>
        <v>0</v>
      </c>
      <c r="M177" s="33">
        <f t="shared" si="206"/>
        <v>0</v>
      </c>
      <c r="N177" s="33">
        <f t="shared" si="206"/>
        <v>0</v>
      </c>
      <c r="O177" s="33">
        <f t="shared" si="206"/>
        <v>0</v>
      </c>
      <c r="P177" s="33">
        <f t="shared" si="206"/>
        <v>0</v>
      </c>
      <c r="Q177" s="33">
        <f t="shared" si="206"/>
        <v>0</v>
      </c>
      <c r="R177" s="33">
        <f t="shared" si="206"/>
        <v>0</v>
      </c>
      <c r="S177" s="33">
        <f t="shared" si="206"/>
        <v>0</v>
      </c>
      <c r="T177" s="33">
        <f t="shared" si="206"/>
        <v>0</v>
      </c>
      <c r="U177" s="33">
        <f t="shared" si="206"/>
        <v>0</v>
      </c>
    </row>
    <row r="178" spans="1:21" s="17" customFormat="1" outlineLevel="2">
      <c r="A178" s="21" t="s">
        <v>86</v>
      </c>
      <c r="B178" s="22" t="s">
        <v>9</v>
      </c>
      <c r="C178" s="22" t="s">
        <v>115</v>
      </c>
      <c r="D178" s="22" t="s">
        <v>12</v>
      </c>
      <c r="E178" s="22" t="s">
        <v>140</v>
      </c>
      <c r="F178" s="22" t="s">
        <v>87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</row>
    <row r="179" spans="1:21" s="17" customFormat="1" ht="14.25" customHeight="1" outlineLevel="1">
      <c r="A179" s="29" t="s">
        <v>254</v>
      </c>
      <c r="B179" s="19" t="s">
        <v>9</v>
      </c>
      <c r="C179" s="19" t="s">
        <v>115</v>
      </c>
      <c r="D179" s="19" t="s">
        <v>12</v>
      </c>
      <c r="E179" s="30" t="s">
        <v>240</v>
      </c>
      <c r="F179" s="19" t="s">
        <v>0</v>
      </c>
      <c r="G179" s="33">
        <f t="shared" ref="G179:M179" si="207">G180</f>
        <v>3180683</v>
      </c>
      <c r="H179" s="33">
        <f t="shared" si="207"/>
        <v>0</v>
      </c>
      <c r="I179" s="33">
        <f t="shared" si="207"/>
        <v>3180683</v>
      </c>
      <c r="J179" s="33">
        <f t="shared" si="207"/>
        <v>0</v>
      </c>
      <c r="K179" s="33">
        <f t="shared" si="207"/>
        <v>3180683</v>
      </c>
      <c r="L179" s="33">
        <f t="shared" si="207"/>
        <v>0</v>
      </c>
      <c r="M179" s="33">
        <f t="shared" si="207"/>
        <v>3180683</v>
      </c>
      <c r="N179" s="33">
        <f t="shared" si="206"/>
        <v>3180683</v>
      </c>
      <c r="O179" s="33">
        <f t="shared" si="206"/>
        <v>0</v>
      </c>
      <c r="P179" s="33">
        <f t="shared" si="206"/>
        <v>3180683</v>
      </c>
      <c r="Q179" s="33">
        <f t="shared" si="206"/>
        <v>0</v>
      </c>
      <c r="R179" s="33">
        <f t="shared" si="206"/>
        <v>3180683</v>
      </c>
      <c r="S179" s="33">
        <f t="shared" si="206"/>
        <v>3180683</v>
      </c>
      <c r="T179" s="33">
        <f t="shared" si="206"/>
        <v>0</v>
      </c>
      <c r="U179" s="33">
        <f t="shared" si="206"/>
        <v>3180683</v>
      </c>
    </row>
    <row r="180" spans="1:21" s="17" customFormat="1" outlineLevel="1">
      <c r="A180" s="21" t="s">
        <v>86</v>
      </c>
      <c r="B180" s="22" t="s">
        <v>9</v>
      </c>
      <c r="C180" s="22" t="s">
        <v>115</v>
      </c>
      <c r="D180" s="22" t="s">
        <v>12</v>
      </c>
      <c r="E180" s="22" t="s">
        <v>240</v>
      </c>
      <c r="F180" s="22" t="s">
        <v>87</v>
      </c>
      <c r="G180" s="46">
        <v>3180683</v>
      </c>
      <c r="H180" s="46">
        <v>0</v>
      </c>
      <c r="I180" s="46">
        <f>G180+H180</f>
        <v>3180683</v>
      </c>
      <c r="J180" s="46">
        <v>0</v>
      </c>
      <c r="K180" s="46">
        <f>I180+J180</f>
        <v>3180683</v>
      </c>
      <c r="L180" s="46">
        <v>0</v>
      </c>
      <c r="M180" s="46">
        <f>K180+L180</f>
        <v>3180683</v>
      </c>
      <c r="N180" s="46">
        <v>3180683</v>
      </c>
      <c r="O180" s="46">
        <v>0</v>
      </c>
      <c r="P180" s="46">
        <f>N180+O180</f>
        <v>3180683</v>
      </c>
      <c r="Q180" s="46">
        <v>0</v>
      </c>
      <c r="R180" s="46">
        <f>P180+Q180</f>
        <v>3180683</v>
      </c>
      <c r="S180" s="46">
        <v>3180683</v>
      </c>
      <c r="T180" s="46">
        <v>0</v>
      </c>
      <c r="U180" s="46">
        <f>S180+T180</f>
        <v>3180683</v>
      </c>
    </row>
    <row r="181" spans="1:21" s="17" customFormat="1">
      <c r="A181" s="14" t="s">
        <v>220</v>
      </c>
      <c r="B181" s="15" t="s">
        <v>9</v>
      </c>
      <c r="C181" s="15" t="s">
        <v>115</v>
      </c>
      <c r="D181" s="15" t="s">
        <v>153</v>
      </c>
      <c r="E181" s="15" t="s">
        <v>0</v>
      </c>
      <c r="F181" s="15" t="s">
        <v>0</v>
      </c>
      <c r="G181" s="52">
        <f t="shared" ref="G181:U181" si="208">G182</f>
        <v>7486526</v>
      </c>
      <c r="H181" s="52">
        <f t="shared" si="208"/>
        <v>2402580</v>
      </c>
      <c r="I181" s="52">
        <f t="shared" si="208"/>
        <v>9889106</v>
      </c>
      <c r="J181" s="52">
        <f t="shared" si="208"/>
        <v>0</v>
      </c>
      <c r="K181" s="52">
        <f t="shared" si="208"/>
        <v>9889106</v>
      </c>
      <c r="L181" s="52">
        <f t="shared" si="208"/>
        <v>167534</v>
      </c>
      <c r="M181" s="52">
        <f t="shared" si="208"/>
        <v>10056640</v>
      </c>
      <c r="N181" s="52">
        <f t="shared" si="208"/>
        <v>7711122</v>
      </c>
      <c r="O181" s="52">
        <f t="shared" si="208"/>
        <v>0</v>
      </c>
      <c r="P181" s="52">
        <f t="shared" si="208"/>
        <v>7711122</v>
      </c>
      <c r="Q181" s="52">
        <f t="shared" si="208"/>
        <v>0</v>
      </c>
      <c r="R181" s="52">
        <f t="shared" si="208"/>
        <v>7711122</v>
      </c>
      <c r="S181" s="52">
        <f t="shared" si="208"/>
        <v>7711122</v>
      </c>
      <c r="T181" s="52">
        <f t="shared" si="208"/>
        <v>0</v>
      </c>
      <c r="U181" s="52">
        <f t="shared" si="208"/>
        <v>7711122</v>
      </c>
    </row>
    <row r="182" spans="1:21" s="17" customFormat="1">
      <c r="A182" s="14" t="s">
        <v>117</v>
      </c>
      <c r="B182" s="15" t="s">
        <v>9</v>
      </c>
      <c r="C182" s="15" t="s">
        <v>115</v>
      </c>
      <c r="D182" s="15" t="s">
        <v>153</v>
      </c>
      <c r="E182" s="15" t="s">
        <v>118</v>
      </c>
      <c r="F182" s="15" t="s">
        <v>0</v>
      </c>
      <c r="G182" s="52">
        <f t="shared" ref="G182:U182" si="209">G183+G185+G187</f>
        <v>7486526</v>
      </c>
      <c r="H182" s="52">
        <f t="shared" si="209"/>
        <v>2402580</v>
      </c>
      <c r="I182" s="52">
        <f t="shared" si="209"/>
        <v>9889106</v>
      </c>
      <c r="J182" s="52">
        <f t="shared" ref="J182:K182" si="210">J183+J185+J187</f>
        <v>0</v>
      </c>
      <c r="K182" s="52">
        <f t="shared" si="210"/>
        <v>9889106</v>
      </c>
      <c r="L182" s="52">
        <f t="shared" ref="L182:M182" si="211">L183+L185+L187</f>
        <v>167534</v>
      </c>
      <c r="M182" s="52">
        <f t="shared" si="211"/>
        <v>10056640</v>
      </c>
      <c r="N182" s="52">
        <f t="shared" si="209"/>
        <v>7711122</v>
      </c>
      <c r="O182" s="52">
        <f t="shared" si="209"/>
        <v>0</v>
      </c>
      <c r="P182" s="52">
        <f t="shared" si="209"/>
        <v>7711122</v>
      </c>
      <c r="Q182" s="52">
        <f t="shared" ref="Q182:R182" si="212">Q183+Q185+Q187</f>
        <v>0</v>
      </c>
      <c r="R182" s="52">
        <f t="shared" si="212"/>
        <v>7711122</v>
      </c>
      <c r="S182" s="52">
        <f t="shared" si="209"/>
        <v>7711122</v>
      </c>
      <c r="T182" s="52">
        <f t="shared" si="209"/>
        <v>0</v>
      </c>
      <c r="U182" s="52">
        <f t="shared" si="209"/>
        <v>7711122</v>
      </c>
    </row>
    <row r="183" spans="1:21" s="17" customFormat="1" ht="27">
      <c r="A183" s="18" t="s">
        <v>124</v>
      </c>
      <c r="B183" s="19" t="s">
        <v>9</v>
      </c>
      <c r="C183" s="19" t="s">
        <v>115</v>
      </c>
      <c r="D183" s="19" t="s">
        <v>153</v>
      </c>
      <c r="E183" s="19" t="s">
        <v>125</v>
      </c>
      <c r="F183" s="19" t="s">
        <v>0</v>
      </c>
      <c r="G183" s="33">
        <f t="shared" ref="G183:U183" si="213">G184</f>
        <v>350000</v>
      </c>
      <c r="H183" s="33">
        <f t="shared" si="213"/>
        <v>0</v>
      </c>
      <c r="I183" s="33">
        <f t="shared" si="213"/>
        <v>350000</v>
      </c>
      <c r="J183" s="33">
        <f t="shared" si="213"/>
        <v>0</v>
      </c>
      <c r="K183" s="33">
        <f t="shared" si="213"/>
        <v>350000</v>
      </c>
      <c r="L183" s="33">
        <f t="shared" si="213"/>
        <v>0</v>
      </c>
      <c r="M183" s="33">
        <f t="shared" si="213"/>
        <v>350000</v>
      </c>
      <c r="N183" s="33">
        <f t="shared" si="213"/>
        <v>362000</v>
      </c>
      <c r="O183" s="33">
        <f t="shared" si="213"/>
        <v>0</v>
      </c>
      <c r="P183" s="33">
        <f t="shared" si="213"/>
        <v>362000</v>
      </c>
      <c r="Q183" s="33">
        <f t="shared" si="213"/>
        <v>0</v>
      </c>
      <c r="R183" s="33">
        <f t="shared" si="213"/>
        <v>362000</v>
      </c>
      <c r="S183" s="33">
        <f t="shared" si="213"/>
        <v>362000</v>
      </c>
      <c r="T183" s="33">
        <f t="shared" si="213"/>
        <v>0</v>
      </c>
      <c r="U183" s="33">
        <f t="shared" si="213"/>
        <v>362000</v>
      </c>
    </row>
    <row r="184" spans="1:21" s="17" customFormat="1">
      <c r="A184" s="21" t="s">
        <v>21</v>
      </c>
      <c r="B184" s="22" t="s">
        <v>9</v>
      </c>
      <c r="C184" s="22" t="s">
        <v>115</v>
      </c>
      <c r="D184" s="22" t="s">
        <v>153</v>
      </c>
      <c r="E184" s="22" t="s">
        <v>125</v>
      </c>
      <c r="F184" s="22" t="s">
        <v>22</v>
      </c>
      <c r="G184" s="46">
        <v>350000</v>
      </c>
      <c r="H184" s="46">
        <v>0</v>
      </c>
      <c r="I184" s="46">
        <f>G184+H184</f>
        <v>350000</v>
      </c>
      <c r="J184" s="46">
        <v>0</v>
      </c>
      <c r="K184" s="46">
        <f>I184+J184</f>
        <v>350000</v>
      </c>
      <c r="L184" s="46">
        <v>0</v>
      </c>
      <c r="M184" s="46">
        <f>K184+L184</f>
        <v>350000</v>
      </c>
      <c r="N184" s="46">
        <v>362000</v>
      </c>
      <c r="O184" s="46">
        <v>0</v>
      </c>
      <c r="P184" s="46">
        <f>N184+O184</f>
        <v>362000</v>
      </c>
      <c r="Q184" s="46">
        <v>0</v>
      </c>
      <c r="R184" s="46">
        <f>P184+Q184</f>
        <v>362000</v>
      </c>
      <c r="S184" s="46">
        <v>362000</v>
      </c>
      <c r="T184" s="46">
        <v>0</v>
      </c>
      <c r="U184" s="46">
        <f>S184+T184</f>
        <v>362000</v>
      </c>
    </row>
    <row r="185" spans="1:21" s="17" customFormat="1" ht="13.5">
      <c r="A185" s="18" t="s">
        <v>126</v>
      </c>
      <c r="B185" s="19" t="s">
        <v>9</v>
      </c>
      <c r="C185" s="19" t="s">
        <v>115</v>
      </c>
      <c r="D185" s="19" t="s">
        <v>153</v>
      </c>
      <c r="E185" s="19" t="s">
        <v>127</v>
      </c>
      <c r="F185" s="19" t="s">
        <v>0</v>
      </c>
      <c r="G185" s="33">
        <f t="shared" ref="G185:U185" si="214">G186</f>
        <v>2000000</v>
      </c>
      <c r="H185" s="33">
        <f t="shared" si="214"/>
        <v>0</v>
      </c>
      <c r="I185" s="33">
        <f t="shared" si="214"/>
        <v>2000000</v>
      </c>
      <c r="J185" s="33">
        <f t="shared" si="214"/>
        <v>-39520.160000000003</v>
      </c>
      <c r="K185" s="33">
        <f t="shared" si="214"/>
        <v>1960479.84</v>
      </c>
      <c r="L185" s="33">
        <f t="shared" si="214"/>
        <v>0</v>
      </c>
      <c r="M185" s="33">
        <f t="shared" si="214"/>
        <v>1960479.84</v>
      </c>
      <c r="N185" s="33">
        <f t="shared" si="214"/>
        <v>2000000</v>
      </c>
      <c r="O185" s="33">
        <f t="shared" si="214"/>
        <v>0</v>
      </c>
      <c r="P185" s="33">
        <f t="shared" si="214"/>
        <v>2000000</v>
      </c>
      <c r="Q185" s="33">
        <f t="shared" si="214"/>
        <v>0</v>
      </c>
      <c r="R185" s="33">
        <f t="shared" si="214"/>
        <v>2000000</v>
      </c>
      <c r="S185" s="33">
        <f t="shared" si="214"/>
        <v>2000000</v>
      </c>
      <c r="T185" s="33">
        <f t="shared" si="214"/>
        <v>0</v>
      </c>
      <c r="U185" s="33">
        <f t="shared" si="214"/>
        <v>2000000</v>
      </c>
    </row>
    <row r="186" spans="1:21" s="17" customFormat="1">
      <c r="A186" s="21" t="s">
        <v>128</v>
      </c>
      <c r="B186" s="22" t="s">
        <v>9</v>
      </c>
      <c r="C186" s="22" t="s">
        <v>115</v>
      </c>
      <c r="D186" s="22" t="s">
        <v>153</v>
      </c>
      <c r="E186" s="22" t="s">
        <v>127</v>
      </c>
      <c r="F186" s="22" t="s">
        <v>129</v>
      </c>
      <c r="G186" s="46">
        <v>2000000</v>
      </c>
      <c r="H186" s="46">
        <v>0</v>
      </c>
      <c r="I186" s="46">
        <f>G186+H186</f>
        <v>2000000</v>
      </c>
      <c r="J186" s="46">
        <v>-39520.160000000003</v>
      </c>
      <c r="K186" s="46">
        <f>I186+J186</f>
        <v>1960479.84</v>
      </c>
      <c r="L186" s="46">
        <v>0</v>
      </c>
      <c r="M186" s="46">
        <f>K186+L186</f>
        <v>1960479.84</v>
      </c>
      <c r="N186" s="46">
        <v>2000000</v>
      </c>
      <c r="O186" s="46">
        <v>0</v>
      </c>
      <c r="P186" s="46">
        <f>N186+O186</f>
        <v>2000000</v>
      </c>
      <c r="Q186" s="46">
        <v>0</v>
      </c>
      <c r="R186" s="46">
        <f>P186+Q186</f>
        <v>2000000</v>
      </c>
      <c r="S186" s="46">
        <v>2000000</v>
      </c>
      <c r="T186" s="46">
        <v>0</v>
      </c>
      <c r="U186" s="46">
        <f>S186+T186</f>
        <v>2000000</v>
      </c>
    </row>
    <row r="187" spans="1:21" s="17" customFormat="1">
      <c r="A187" s="14" t="s">
        <v>119</v>
      </c>
      <c r="B187" s="15" t="s">
        <v>9</v>
      </c>
      <c r="C187" s="15" t="s">
        <v>115</v>
      </c>
      <c r="D187" s="15" t="s">
        <v>153</v>
      </c>
      <c r="E187" s="15" t="s">
        <v>120</v>
      </c>
      <c r="F187" s="15" t="s">
        <v>0</v>
      </c>
      <c r="G187" s="52">
        <f t="shared" ref="G187:U187" si="215">G188+G191+G194</f>
        <v>5136526</v>
      </c>
      <c r="H187" s="52">
        <f t="shared" si="215"/>
        <v>2402580</v>
      </c>
      <c r="I187" s="52">
        <f t="shared" si="215"/>
        <v>7539106</v>
      </c>
      <c r="J187" s="52">
        <f t="shared" ref="J187:K187" si="216">J188+J191+J194</f>
        <v>39520.160000000003</v>
      </c>
      <c r="K187" s="52">
        <f t="shared" si="216"/>
        <v>7578626.1600000001</v>
      </c>
      <c r="L187" s="52">
        <f t="shared" ref="L187:M187" si="217">L188+L191+L194</f>
        <v>167534</v>
      </c>
      <c r="M187" s="52">
        <f t="shared" si="217"/>
        <v>7746160.1600000001</v>
      </c>
      <c r="N187" s="52">
        <f t="shared" si="215"/>
        <v>5349122</v>
      </c>
      <c r="O187" s="52">
        <f t="shared" si="215"/>
        <v>0</v>
      </c>
      <c r="P187" s="52">
        <f t="shared" si="215"/>
        <v>5349122</v>
      </c>
      <c r="Q187" s="52">
        <f t="shared" ref="Q187:R187" si="218">Q188+Q191+Q194</f>
        <v>0</v>
      </c>
      <c r="R187" s="52">
        <f t="shared" si="218"/>
        <v>5349122</v>
      </c>
      <c r="S187" s="52">
        <f t="shared" si="215"/>
        <v>5349122</v>
      </c>
      <c r="T187" s="52">
        <f t="shared" si="215"/>
        <v>0</v>
      </c>
      <c r="U187" s="52">
        <f t="shared" si="215"/>
        <v>5349122</v>
      </c>
    </row>
    <row r="188" spans="1:21" s="17" customFormat="1" ht="27">
      <c r="A188" s="18" t="s">
        <v>130</v>
      </c>
      <c r="B188" s="19" t="s">
        <v>9</v>
      </c>
      <c r="C188" s="19" t="s">
        <v>115</v>
      </c>
      <c r="D188" s="19" t="s">
        <v>153</v>
      </c>
      <c r="E188" s="19" t="s">
        <v>131</v>
      </c>
      <c r="F188" s="19" t="s">
        <v>0</v>
      </c>
      <c r="G188" s="33">
        <f t="shared" ref="G188:U188" si="219">G189+G190</f>
        <v>375000</v>
      </c>
      <c r="H188" s="33">
        <f t="shared" si="219"/>
        <v>1472580</v>
      </c>
      <c r="I188" s="33">
        <f t="shared" si="219"/>
        <v>1847580</v>
      </c>
      <c r="J188" s="33">
        <f t="shared" ref="J188:K188" si="220">J189+J190</f>
        <v>0</v>
      </c>
      <c r="K188" s="33">
        <f t="shared" si="220"/>
        <v>1847580</v>
      </c>
      <c r="L188" s="33">
        <f t="shared" ref="L188:M188" si="221">L189+L190</f>
        <v>0</v>
      </c>
      <c r="M188" s="33">
        <f t="shared" si="221"/>
        <v>1847580</v>
      </c>
      <c r="N188" s="33">
        <f t="shared" si="219"/>
        <v>375000</v>
      </c>
      <c r="O188" s="33">
        <f t="shared" si="219"/>
        <v>0</v>
      </c>
      <c r="P188" s="33">
        <f t="shared" si="219"/>
        <v>375000</v>
      </c>
      <c r="Q188" s="33">
        <f t="shared" ref="Q188:R188" si="222">Q189+Q190</f>
        <v>0</v>
      </c>
      <c r="R188" s="33">
        <f t="shared" si="222"/>
        <v>375000</v>
      </c>
      <c r="S188" s="33">
        <f t="shared" si="219"/>
        <v>375000</v>
      </c>
      <c r="T188" s="33">
        <f t="shared" si="219"/>
        <v>0</v>
      </c>
      <c r="U188" s="33">
        <f t="shared" si="219"/>
        <v>375000</v>
      </c>
    </row>
    <row r="189" spans="1:21" s="17" customFormat="1">
      <c r="A189" s="21" t="s">
        <v>21</v>
      </c>
      <c r="B189" s="22" t="s">
        <v>9</v>
      </c>
      <c r="C189" s="22" t="s">
        <v>115</v>
      </c>
      <c r="D189" s="22" t="s">
        <v>153</v>
      </c>
      <c r="E189" s="22" t="s">
        <v>131</v>
      </c>
      <c r="F189" s="22" t="s">
        <v>22</v>
      </c>
      <c r="G189" s="46">
        <v>375000</v>
      </c>
      <c r="H189" s="46">
        <v>0</v>
      </c>
      <c r="I189" s="46">
        <f>G189+H189</f>
        <v>375000</v>
      </c>
      <c r="J189" s="46">
        <v>0</v>
      </c>
      <c r="K189" s="46">
        <f>I189+J189</f>
        <v>375000</v>
      </c>
      <c r="L189" s="46">
        <v>0</v>
      </c>
      <c r="M189" s="46">
        <f>K189+L189</f>
        <v>375000</v>
      </c>
      <c r="N189" s="46">
        <v>375000</v>
      </c>
      <c r="O189" s="46">
        <v>0</v>
      </c>
      <c r="P189" s="46">
        <f>N189+O189</f>
        <v>375000</v>
      </c>
      <c r="Q189" s="46">
        <v>0</v>
      </c>
      <c r="R189" s="46">
        <f>P189+Q189</f>
        <v>375000</v>
      </c>
      <c r="S189" s="46">
        <v>375000</v>
      </c>
      <c r="T189" s="46">
        <v>0</v>
      </c>
      <c r="U189" s="46">
        <f>S189+T189</f>
        <v>375000</v>
      </c>
    </row>
    <row r="190" spans="1:21" s="17" customFormat="1" outlineLevel="1">
      <c r="A190" s="21" t="s">
        <v>72</v>
      </c>
      <c r="B190" s="22" t="s">
        <v>9</v>
      </c>
      <c r="C190" s="22" t="s">
        <v>115</v>
      </c>
      <c r="D190" s="22" t="s">
        <v>153</v>
      </c>
      <c r="E190" s="22" t="s">
        <v>131</v>
      </c>
      <c r="F190" s="22" t="s">
        <v>73</v>
      </c>
      <c r="G190" s="46">
        <v>0</v>
      </c>
      <c r="H190" s="46">
        <v>1472580</v>
      </c>
      <c r="I190" s="46">
        <f>G190+H190</f>
        <v>1472580</v>
      </c>
      <c r="J190" s="46">
        <v>0</v>
      </c>
      <c r="K190" s="46">
        <f>I190+J190</f>
        <v>1472580</v>
      </c>
      <c r="L190" s="46">
        <v>0</v>
      </c>
      <c r="M190" s="46">
        <f>K190+L190</f>
        <v>1472580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</row>
    <row r="191" spans="1:21" s="17" customFormat="1" ht="13.5">
      <c r="A191" s="18" t="s">
        <v>132</v>
      </c>
      <c r="B191" s="19" t="s">
        <v>9</v>
      </c>
      <c r="C191" s="19" t="s">
        <v>115</v>
      </c>
      <c r="D191" s="19" t="s">
        <v>153</v>
      </c>
      <c r="E191" s="19" t="s">
        <v>133</v>
      </c>
      <c r="F191" s="19" t="s">
        <v>0</v>
      </c>
      <c r="G191" s="33">
        <f t="shared" ref="G191:U191" si="223">G192+G193</f>
        <v>1069900</v>
      </c>
      <c r="H191" s="33">
        <f t="shared" si="223"/>
        <v>0</v>
      </c>
      <c r="I191" s="33">
        <f t="shared" si="223"/>
        <v>1069900</v>
      </c>
      <c r="J191" s="33">
        <f t="shared" ref="J191:K191" si="224">J192+J193</f>
        <v>-199800</v>
      </c>
      <c r="K191" s="33">
        <f t="shared" si="224"/>
        <v>870100</v>
      </c>
      <c r="L191" s="33">
        <f t="shared" ref="L191:M191" si="225">L192+L193</f>
        <v>0</v>
      </c>
      <c r="M191" s="33">
        <f t="shared" si="225"/>
        <v>870100</v>
      </c>
      <c r="N191" s="33">
        <f t="shared" si="223"/>
        <v>1069900</v>
      </c>
      <c r="O191" s="33">
        <f t="shared" si="223"/>
        <v>0</v>
      </c>
      <c r="P191" s="33">
        <f t="shared" si="223"/>
        <v>1069900</v>
      </c>
      <c r="Q191" s="33">
        <f t="shared" ref="Q191:R191" si="226">Q192+Q193</f>
        <v>0</v>
      </c>
      <c r="R191" s="33">
        <f t="shared" si="226"/>
        <v>1069900</v>
      </c>
      <c r="S191" s="33">
        <f t="shared" si="223"/>
        <v>1069900</v>
      </c>
      <c r="T191" s="33">
        <f t="shared" si="223"/>
        <v>0</v>
      </c>
      <c r="U191" s="33">
        <f t="shared" si="223"/>
        <v>1069900</v>
      </c>
    </row>
    <row r="192" spans="1:21" s="17" customFormat="1">
      <c r="A192" s="21" t="s">
        <v>21</v>
      </c>
      <c r="B192" s="22" t="s">
        <v>9</v>
      </c>
      <c r="C192" s="22" t="s">
        <v>115</v>
      </c>
      <c r="D192" s="22" t="s">
        <v>153</v>
      </c>
      <c r="E192" s="22" t="s">
        <v>133</v>
      </c>
      <c r="F192" s="22" t="s">
        <v>22</v>
      </c>
      <c r="G192" s="46">
        <v>174900</v>
      </c>
      <c r="H192" s="46">
        <v>0</v>
      </c>
      <c r="I192" s="46">
        <f>G192+H192</f>
        <v>174900</v>
      </c>
      <c r="J192" s="46">
        <f>-15000-4800</f>
        <v>-19800</v>
      </c>
      <c r="K192" s="46">
        <f>I192+J192</f>
        <v>155100</v>
      </c>
      <c r="L192" s="46">
        <v>0</v>
      </c>
      <c r="M192" s="46">
        <f>K192+L192</f>
        <v>155100</v>
      </c>
      <c r="N192" s="46">
        <v>174900</v>
      </c>
      <c r="O192" s="46">
        <v>0</v>
      </c>
      <c r="P192" s="46">
        <f>N192+O192</f>
        <v>174900</v>
      </c>
      <c r="Q192" s="46">
        <v>0</v>
      </c>
      <c r="R192" s="46">
        <f>P192+Q192</f>
        <v>174900</v>
      </c>
      <c r="S192" s="46">
        <v>174900</v>
      </c>
      <c r="T192" s="46">
        <v>0</v>
      </c>
      <c r="U192" s="46">
        <f>S192+T192</f>
        <v>174900</v>
      </c>
    </row>
    <row r="193" spans="1:21" s="17" customFormat="1">
      <c r="A193" s="21" t="s">
        <v>72</v>
      </c>
      <c r="B193" s="22" t="s">
        <v>9</v>
      </c>
      <c r="C193" s="22" t="s">
        <v>115</v>
      </c>
      <c r="D193" s="22" t="s">
        <v>153</v>
      </c>
      <c r="E193" s="22" t="s">
        <v>133</v>
      </c>
      <c r="F193" s="22" t="s">
        <v>73</v>
      </c>
      <c r="G193" s="46">
        <v>895000</v>
      </c>
      <c r="H193" s="46">
        <v>0</v>
      </c>
      <c r="I193" s="46">
        <f>G193+H193</f>
        <v>895000</v>
      </c>
      <c r="J193" s="46">
        <v>-180000</v>
      </c>
      <c r="K193" s="46">
        <f>I193+J193</f>
        <v>715000</v>
      </c>
      <c r="L193" s="46">
        <v>0</v>
      </c>
      <c r="M193" s="46">
        <f>K193+L193</f>
        <v>715000</v>
      </c>
      <c r="N193" s="46">
        <v>895000</v>
      </c>
      <c r="O193" s="46">
        <v>0</v>
      </c>
      <c r="P193" s="46">
        <f>N193+O193</f>
        <v>895000</v>
      </c>
      <c r="Q193" s="46">
        <v>0</v>
      </c>
      <c r="R193" s="46">
        <f>P193+Q193</f>
        <v>895000</v>
      </c>
      <c r="S193" s="46">
        <v>895000</v>
      </c>
      <c r="T193" s="46">
        <v>0</v>
      </c>
      <c r="U193" s="46">
        <f>S193+T193</f>
        <v>895000</v>
      </c>
    </row>
    <row r="194" spans="1:21" s="17" customFormat="1" ht="26.25" customHeight="1">
      <c r="A194" s="18" t="s">
        <v>134</v>
      </c>
      <c r="B194" s="19" t="s">
        <v>9</v>
      </c>
      <c r="C194" s="19" t="s">
        <v>115</v>
      </c>
      <c r="D194" s="19" t="s">
        <v>153</v>
      </c>
      <c r="E194" s="19" t="s">
        <v>135</v>
      </c>
      <c r="F194" s="19" t="s">
        <v>0</v>
      </c>
      <c r="G194" s="33">
        <f>G195+G196+G197</f>
        <v>3691626</v>
      </c>
      <c r="H194" s="33">
        <f t="shared" ref="H194:U194" si="227">H195+H196+H197</f>
        <v>930000</v>
      </c>
      <c r="I194" s="33">
        <f t="shared" si="227"/>
        <v>4621626</v>
      </c>
      <c r="J194" s="33">
        <f t="shared" ref="J194:K194" si="228">J195+J196+J197</f>
        <v>239320.16</v>
      </c>
      <c r="K194" s="33">
        <f t="shared" si="228"/>
        <v>4860946.16</v>
      </c>
      <c r="L194" s="33">
        <f t="shared" ref="L194:M194" si="229">L195+L196+L197</f>
        <v>167534</v>
      </c>
      <c r="M194" s="33">
        <f t="shared" si="229"/>
        <v>5028480.16</v>
      </c>
      <c r="N194" s="33">
        <f t="shared" si="227"/>
        <v>3904222</v>
      </c>
      <c r="O194" s="33">
        <f t="shared" si="227"/>
        <v>0</v>
      </c>
      <c r="P194" s="33">
        <f t="shared" si="227"/>
        <v>3904222</v>
      </c>
      <c r="Q194" s="33">
        <f t="shared" ref="Q194:R194" si="230">Q195+Q196+Q197</f>
        <v>0</v>
      </c>
      <c r="R194" s="33">
        <f t="shared" si="230"/>
        <v>3904222</v>
      </c>
      <c r="S194" s="33">
        <f t="shared" si="227"/>
        <v>3904222</v>
      </c>
      <c r="T194" s="33">
        <f t="shared" si="227"/>
        <v>0</v>
      </c>
      <c r="U194" s="33">
        <f t="shared" si="227"/>
        <v>3904222</v>
      </c>
    </row>
    <row r="195" spans="1:21" s="17" customFormat="1">
      <c r="A195" s="21" t="s">
        <v>21</v>
      </c>
      <c r="B195" s="22" t="s">
        <v>9</v>
      </c>
      <c r="C195" s="22" t="s">
        <v>115</v>
      </c>
      <c r="D195" s="22" t="s">
        <v>153</v>
      </c>
      <c r="E195" s="22" t="s">
        <v>135</v>
      </c>
      <c r="F195" s="22" t="s">
        <v>22</v>
      </c>
      <c r="G195" s="46">
        <v>53024</v>
      </c>
      <c r="H195" s="46">
        <v>0</v>
      </c>
      <c r="I195" s="46">
        <f>G195+H195</f>
        <v>53024</v>
      </c>
      <c r="J195" s="46">
        <v>4800</v>
      </c>
      <c r="K195" s="46">
        <f>I195+J195</f>
        <v>57824</v>
      </c>
      <c r="L195" s="46">
        <v>0</v>
      </c>
      <c r="M195" s="46">
        <f>K195+L195</f>
        <v>57824</v>
      </c>
      <c r="N195" s="46">
        <v>66620</v>
      </c>
      <c r="O195" s="46">
        <v>0</v>
      </c>
      <c r="P195" s="46">
        <f>N195+O195</f>
        <v>66620</v>
      </c>
      <c r="Q195" s="46">
        <v>0</v>
      </c>
      <c r="R195" s="46">
        <f>P195+Q195</f>
        <v>66620</v>
      </c>
      <c r="S195" s="46">
        <v>66620</v>
      </c>
      <c r="T195" s="46">
        <v>0</v>
      </c>
      <c r="U195" s="46">
        <f>S195+T195</f>
        <v>66620</v>
      </c>
    </row>
    <row r="196" spans="1:21" s="17" customFormat="1">
      <c r="A196" s="21" t="s">
        <v>72</v>
      </c>
      <c r="B196" s="22" t="s">
        <v>9</v>
      </c>
      <c r="C196" s="22" t="s">
        <v>115</v>
      </c>
      <c r="D196" s="22" t="s">
        <v>153</v>
      </c>
      <c r="E196" s="22" t="s">
        <v>135</v>
      </c>
      <c r="F196" s="22" t="s">
        <v>73</v>
      </c>
      <c r="G196" s="46">
        <v>3638602</v>
      </c>
      <c r="H196" s="46">
        <v>0</v>
      </c>
      <c r="I196" s="46">
        <f>G196+H196</f>
        <v>3638602</v>
      </c>
      <c r="J196" s="46">
        <v>234520.16</v>
      </c>
      <c r="K196" s="46">
        <f>I196+J196</f>
        <v>3873122.16</v>
      </c>
      <c r="L196" s="46">
        <v>167534</v>
      </c>
      <c r="M196" s="46">
        <f>K196+L196</f>
        <v>4040656.16</v>
      </c>
      <c r="N196" s="46">
        <v>3837602</v>
      </c>
      <c r="O196" s="46">
        <v>0</v>
      </c>
      <c r="P196" s="46">
        <f>N196+O196</f>
        <v>3837602</v>
      </c>
      <c r="Q196" s="46">
        <v>0</v>
      </c>
      <c r="R196" s="46">
        <f>P196+Q196</f>
        <v>3837602</v>
      </c>
      <c r="S196" s="46">
        <v>3837602</v>
      </c>
      <c r="T196" s="46">
        <v>0</v>
      </c>
      <c r="U196" s="46">
        <f>S196+T196</f>
        <v>3837602</v>
      </c>
    </row>
    <row r="197" spans="1:21" s="17" customFormat="1">
      <c r="A197" s="21" t="s">
        <v>40</v>
      </c>
      <c r="B197" s="22" t="s">
        <v>9</v>
      </c>
      <c r="C197" s="22" t="s">
        <v>115</v>
      </c>
      <c r="D197" s="22" t="s">
        <v>153</v>
      </c>
      <c r="E197" s="22" t="s">
        <v>135</v>
      </c>
      <c r="F197" s="22">
        <v>800</v>
      </c>
      <c r="G197" s="46">
        <v>0</v>
      </c>
      <c r="H197" s="46">
        <v>930000</v>
      </c>
      <c r="I197" s="46">
        <f>H197+G197</f>
        <v>930000</v>
      </c>
      <c r="J197" s="46">
        <v>0</v>
      </c>
      <c r="K197" s="46">
        <f>J197+I197</f>
        <v>930000</v>
      </c>
      <c r="L197" s="46">
        <v>0</v>
      </c>
      <c r="M197" s="46">
        <f>L197+K197</f>
        <v>930000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</row>
    <row r="198" spans="1:21" s="17" customFormat="1">
      <c r="A198" s="14" t="s">
        <v>226</v>
      </c>
      <c r="B198" s="15" t="s">
        <v>9</v>
      </c>
      <c r="C198" s="15" t="s">
        <v>43</v>
      </c>
      <c r="D198" s="15" t="s">
        <v>0</v>
      </c>
      <c r="E198" s="15" t="s">
        <v>0</v>
      </c>
      <c r="F198" s="15" t="s">
        <v>0</v>
      </c>
      <c r="G198" s="41">
        <f t="shared" ref="G198:U199" si="231">G199</f>
        <v>45622096.439999998</v>
      </c>
      <c r="H198" s="41">
        <f t="shared" si="231"/>
        <v>0</v>
      </c>
      <c r="I198" s="41">
        <f t="shared" si="231"/>
        <v>45622096.439999998</v>
      </c>
      <c r="J198" s="41">
        <f t="shared" si="231"/>
        <v>0</v>
      </c>
      <c r="K198" s="41">
        <f t="shared" si="231"/>
        <v>45622096.439999998</v>
      </c>
      <c r="L198" s="41">
        <f t="shared" si="231"/>
        <v>-19467.95</v>
      </c>
      <c r="M198" s="41">
        <f t="shared" si="231"/>
        <v>45602628.489999995</v>
      </c>
      <c r="N198" s="41">
        <f t="shared" si="231"/>
        <v>42374136.969999999</v>
      </c>
      <c r="O198" s="41">
        <f t="shared" si="231"/>
        <v>0</v>
      </c>
      <c r="P198" s="41">
        <f t="shared" si="231"/>
        <v>42374136.969999999</v>
      </c>
      <c r="Q198" s="41">
        <f t="shared" si="231"/>
        <v>0</v>
      </c>
      <c r="R198" s="41">
        <f t="shared" si="231"/>
        <v>42374136.969999999</v>
      </c>
      <c r="S198" s="41">
        <f t="shared" si="231"/>
        <v>43826403.630000003</v>
      </c>
      <c r="T198" s="41">
        <f t="shared" si="231"/>
        <v>0</v>
      </c>
      <c r="U198" s="41">
        <f t="shared" si="231"/>
        <v>43826403.630000003</v>
      </c>
    </row>
    <row r="199" spans="1:21" s="17" customFormat="1">
      <c r="A199" s="14" t="s">
        <v>217</v>
      </c>
      <c r="B199" s="15" t="s">
        <v>9</v>
      </c>
      <c r="C199" s="15" t="s">
        <v>43</v>
      </c>
      <c r="D199" s="15" t="s">
        <v>107</v>
      </c>
      <c r="E199" s="15" t="s">
        <v>0</v>
      </c>
      <c r="F199" s="15" t="s">
        <v>0</v>
      </c>
      <c r="G199" s="41">
        <f t="shared" si="231"/>
        <v>45622096.439999998</v>
      </c>
      <c r="H199" s="41">
        <f t="shared" si="231"/>
        <v>0</v>
      </c>
      <c r="I199" s="41">
        <f t="shared" si="231"/>
        <v>45622096.439999998</v>
      </c>
      <c r="J199" s="41">
        <f t="shared" si="231"/>
        <v>0</v>
      </c>
      <c r="K199" s="41">
        <f t="shared" si="231"/>
        <v>45622096.439999998</v>
      </c>
      <c r="L199" s="41">
        <f t="shared" si="231"/>
        <v>-19467.95</v>
      </c>
      <c r="M199" s="41">
        <f t="shared" si="231"/>
        <v>45602628.489999995</v>
      </c>
      <c r="N199" s="41">
        <f t="shared" si="231"/>
        <v>42374136.969999999</v>
      </c>
      <c r="O199" s="41">
        <f t="shared" si="231"/>
        <v>0</v>
      </c>
      <c r="P199" s="41">
        <f t="shared" si="231"/>
        <v>42374136.969999999</v>
      </c>
      <c r="Q199" s="41">
        <f t="shared" si="231"/>
        <v>0</v>
      </c>
      <c r="R199" s="41">
        <f t="shared" si="231"/>
        <v>42374136.969999999</v>
      </c>
      <c r="S199" s="41">
        <f t="shared" si="231"/>
        <v>43826403.630000003</v>
      </c>
      <c r="T199" s="41">
        <f t="shared" si="231"/>
        <v>0</v>
      </c>
      <c r="U199" s="41">
        <f t="shared" si="231"/>
        <v>43826403.630000003</v>
      </c>
    </row>
    <row r="200" spans="1:21" s="17" customFormat="1">
      <c r="A200" s="14" t="s">
        <v>210</v>
      </c>
      <c r="B200" s="15" t="s">
        <v>9</v>
      </c>
      <c r="C200" s="15" t="s">
        <v>43</v>
      </c>
      <c r="D200" s="15" t="s">
        <v>107</v>
      </c>
      <c r="E200" s="15" t="s">
        <v>218</v>
      </c>
      <c r="F200" s="15" t="s">
        <v>0</v>
      </c>
      <c r="G200" s="41">
        <f t="shared" ref="G200:U201" si="232">G201</f>
        <v>45622096.439999998</v>
      </c>
      <c r="H200" s="41">
        <f t="shared" si="232"/>
        <v>0</v>
      </c>
      <c r="I200" s="41">
        <f t="shared" si="232"/>
        <v>45622096.439999998</v>
      </c>
      <c r="J200" s="41">
        <f t="shared" si="232"/>
        <v>0</v>
      </c>
      <c r="K200" s="41">
        <f t="shared" si="232"/>
        <v>45622096.439999998</v>
      </c>
      <c r="L200" s="41">
        <f t="shared" si="232"/>
        <v>-19467.95</v>
      </c>
      <c r="M200" s="41">
        <f t="shared" si="232"/>
        <v>45602628.489999995</v>
      </c>
      <c r="N200" s="41">
        <f t="shared" si="232"/>
        <v>42374136.969999999</v>
      </c>
      <c r="O200" s="41">
        <f t="shared" si="232"/>
        <v>0</v>
      </c>
      <c r="P200" s="41">
        <f t="shared" si="232"/>
        <v>42374136.969999999</v>
      </c>
      <c r="Q200" s="41">
        <f t="shared" si="232"/>
        <v>0</v>
      </c>
      <c r="R200" s="41">
        <f t="shared" si="232"/>
        <v>42374136.969999999</v>
      </c>
      <c r="S200" s="41">
        <f t="shared" si="232"/>
        <v>43826403.630000003</v>
      </c>
      <c r="T200" s="41">
        <f t="shared" si="232"/>
        <v>0</v>
      </c>
      <c r="U200" s="41">
        <f t="shared" si="232"/>
        <v>43826403.630000003</v>
      </c>
    </row>
    <row r="201" spans="1:21" s="17" customFormat="1" ht="27">
      <c r="A201" s="18" t="s">
        <v>124</v>
      </c>
      <c r="B201" s="19" t="s">
        <v>9</v>
      </c>
      <c r="C201" s="19" t="s">
        <v>43</v>
      </c>
      <c r="D201" s="19" t="s">
        <v>107</v>
      </c>
      <c r="E201" s="19" t="s">
        <v>219</v>
      </c>
      <c r="F201" s="19" t="s">
        <v>0</v>
      </c>
      <c r="G201" s="45">
        <f t="shared" ref="G201:M201" si="233">G202</f>
        <v>45622096.439999998</v>
      </c>
      <c r="H201" s="45">
        <f t="shared" si="233"/>
        <v>0</v>
      </c>
      <c r="I201" s="45">
        <f t="shared" si="233"/>
        <v>45622096.439999998</v>
      </c>
      <c r="J201" s="45">
        <f t="shared" si="233"/>
        <v>0</v>
      </c>
      <c r="K201" s="45">
        <f t="shared" si="233"/>
        <v>45622096.439999998</v>
      </c>
      <c r="L201" s="45">
        <f t="shared" si="233"/>
        <v>-19467.95</v>
      </c>
      <c r="M201" s="45">
        <f t="shared" si="233"/>
        <v>45602628.489999995</v>
      </c>
      <c r="N201" s="45">
        <f t="shared" si="232"/>
        <v>42374136.969999999</v>
      </c>
      <c r="O201" s="45">
        <f t="shared" si="232"/>
        <v>0</v>
      </c>
      <c r="P201" s="45">
        <f t="shared" si="232"/>
        <v>42374136.969999999</v>
      </c>
      <c r="Q201" s="45">
        <f t="shared" si="232"/>
        <v>0</v>
      </c>
      <c r="R201" s="45">
        <f t="shared" si="232"/>
        <v>42374136.969999999</v>
      </c>
      <c r="S201" s="45">
        <f t="shared" si="232"/>
        <v>43826403.630000003</v>
      </c>
      <c r="T201" s="45">
        <f t="shared" si="232"/>
        <v>0</v>
      </c>
      <c r="U201" s="45">
        <f t="shared" si="232"/>
        <v>43826403.630000003</v>
      </c>
    </row>
    <row r="202" spans="1:21" s="17" customFormat="1" ht="25.5">
      <c r="A202" s="47" t="s">
        <v>251</v>
      </c>
      <c r="B202" s="49" t="s">
        <v>9</v>
      </c>
      <c r="C202" s="48" t="s">
        <v>43</v>
      </c>
      <c r="D202" s="48" t="s">
        <v>107</v>
      </c>
      <c r="E202" s="48" t="s">
        <v>219</v>
      </c>
      <c r="F202" s="48">
        <v>600</v>
      </c>
      <c r="G202" s="76">
        <f>41924727.01+2600971.83+1096397.6</f>
        <v>45622096.439999998</v>
      </c>
      <c r="H202" s="76">
        <v>0</v>
      </c>
      <c r="I202" s="76">
        <f>G202+H202</f>
        <v>45622096.439999998</v>
      </c>
      <c r="J202" s="76">
        <v>0</v>
      </c>
      <c r="K202" s="76">
        <f>I202+J202</f>
        <v>45622096.439999998</v>
      </c>
      <c r="L202" s="76">
        <v>-19467.95</v>
      </c>
      <c r="M202" s="76">
        <f>K202+L202</f>
        <v>45602628.489999995</v>
      </c>
      <c r="N202" s="76">
        <v>42374136.969999999</v>
      </c>
      <c r="O202" s="76">
        <v>0</v>
      </c>
      <c r="P202" s="76">
        <f>N202+O202</f>
        <v>42374136.969999999</v>
      </c>
      <c r="Q202" s="76">
        <v>0</v>
      </c>
      <c r="R202" s="76">
        <f>P202+Q202</f>
        <v>42374136.969999999</v>
      </c>
      <c r="S202" s="76">
        <v>43826403.630000003</v>
      </c>
      <c r="T202" s="76">
        <v>0</v>
      </c>
      <c r="U202" s="76">
        <f>S202+T202</f>
        <v>43826403.630000003</v>
      </c>
    </row>
    <row r="203" spans="1:21" s="17" customFormat="1">
      <c r="A203" s="14" t="s">
        <v>227</v>
      </c>
      <c r="B203" s="15" t="s">
        <v>9</v>
      </c>
      <c r="C203" s="15" t="s">
        <v>93</v>
      </c>
      <c r="D203" s="15" t="s">
        <v>0</v>
      </c>
      <c r="E203" s="15" t="s">
        <v>0</v>
      </c>
      <c r="F203" s="15" t="s">
        <v>0</v>
      </c>
      <c r="G203" s="52">
        <f t="shared" ref="G203:M207" si="234">G204</f>
        <v>3644235</v>
      </c>
      <c r="H203" s="52">
        <f t="shared" si="234"/>
        <v>11222.8</v>
      </c>
      <c r="I203" s="52">
        <f t="shared" si="234"/>
        <v>3655457.8</v>
      </c>
      <c r="J203" s="52">
        <f t="shared" si="234"/>
        <v>-1000000</v>
      </c>
      <c r="K203" s="52">
        <f t="shared" si="234"/>
        <v>2655457.7999999998</v>
      </c>
      <c r="L203" s="52">
        <f t="shared" si="234"/>
        <v>0</v>
      </c>
      <c r="M203" s="52">
        <f t="shared" si="234"/>
        <v>2655457.7999999998</v>
      </c>
      <c r="N203" s="52">
        <f t="shared" ref="N203:U207" si="235">N204</f>
        <v>3753562</v>
      </c>
      <c r="O203" s="52">
        <f t="shared" si="235"/>
        <v>0</v>
      </c>
      <c r="P203" s="52">
        <f t="shared" si="235"/>
        <v>3753562</v>
      </c>
      <c r="Q203" s="52">
        <f t="shared" si="235"/>
        <v>0</v>
      </c>
      <c r="R203" s="52">
        <f t="shared" si="235"/>
        <v>3753562</v>
      </c>
      <c r="S203" s="52">
        <f t="shared" si="235"/>
        <v>3753562</v>
      </c>
      <c r="T203" s="52">
        <f t="shared" si="235"/>
        <v>0</v>
      </c>
      <c r="U203" s="52">
        <f t="shared" si="235"/>
        <v>3753562</v>
      </c>
    </row>
    <row r="204" spans="1:21" s="17" customFormat="1">
      <c r="A204" s="14" t="s">
        <v>141</v>
      </c>
      <c r="B204" s="15" t="s">
        <v>9</v>
      </c>
      <c r="C204" s="15" t="s">
        <v>93</v>
      </c>
      <c r="D204" s="15" t="s">
        <v>31</v>
      </c>
      <c r="E204" s="15" t="s">
        <v>0</v>
      </c>
      <c r="F204" s="15" t="s">
        <v>0</v>
      </c>
      <c r="G204" s="52">
        <f t="shared" si="234"/>
        <v>3644235</v>
      </c>
      <c r="H204" s="52">
        <f t="shared" si="234"/>
        <v>11222.8</v>
      </c>
      <c r="I204" s="52">
        <f t="shared" si="234"/>
        <v>3655457.8</v>
      </c>
      <c r="J204" s="52">
        <f t="shared" si="234"/>
        <v>-1000000</v>
      </c>
      <c r="K204" s="52">
        <f t="shared" si="234"/>
        <v>2655457.7999999998</v>
      </c>
      <c r="L204" s="52">
        <f t="shared" si="234"/>
        <v>0</v>
      </c>
      <c r="M204" s="52">
        <f t="shared" si="234"/>
        <v>2655457.7999999998</v>
      </c>
      <c r="N204" s="52">
        <f t="shared" si="235"/>
        <v>3753562</v>
      </c>
      <c r="O204" s="52">
        <f t="shared" si="235"/>
        <v>0</v>
      </c>
      <c r="P204" s="52">
        <f t="shared" si="235"/>
        <v>3753562</v>
      </c>
      <c r="Q204" s="52">
        <f t="shared" si="235"/>
        <v>0</v>
      </c>
      <c r="R204" s="52">
        <f t="shared" si="235"/>
        <v>3753562</v>
      </c>
      <c r="S204" s="52">
        <f t="shared" si="235"/>
        <v>3753562</v>
      </c>
      <c r="T204" s="52">
        <f t="shared" si="235"/>
        <v>0</v>
      </c>
      <c r="U204" s="52">
        <f t="shared" si="235"/>
        <v>3753562</v>
      </c>
    </row>
    <row r="205" spans="1:21" s="17" customFormat="1">
      <c r="A205" s="14" t="s">
        <v>142</v>
      </c>
      <c r="B205" s="15" t="s">
        <v>9</v>
      </c>
      <c r="C205" s="15" t="s">
        <v>93</v>
      </c>
      <c r="D205" s="15" t="s">
        <v>31</v>
      </c>
      <c r="E205" s="15" t="s">
        <v>143</v>
      </c>
      <c r="F205" s="15" t="s">
        <v>0</v>
      </c>
      <c r="G205" s="52">
        <f t="shared" si="234"/>
        <v>3644235</v>
      </c>
      <c r="H205" s="52">
        <f t="shared" si="234"/>
        <v>11222.8</v>
      </c>
      <c r="I205" s="52">
        <f t="shared" si="234"/>
        <v>3655457.8</v>
      </c>
      <c r="J205" s="52">
        <f t="shared" si="234"/>
        <v>-1000000</v>
      </c>
      <c r="K205" s="52">
        <f t="shared" si="234"/>
        <v>2655457.7999999998</v>
      </c>
      <c r="L205" s="52">
        <f t="shared" si="234"/>
        <v>0</v>
      </c>
      <c r="M205" s="52">
        <f t="shared" si="234"/>
        <v>2655457.7999999998</v>
      </c>
      <c r="N205" s="52">
        <f t="shared" si="235"/>
        <v>3753562</v>
      </c>
      <c r="O205" s="52">
        <f t="shared" si="235"/>
        <v>0</v>
      </c>
      <c r="P205" s="52">
        <f t="shared" si="235"/>
        <v>3753562</v>
      </c>
      <c r="Q205" s="52">
        <f t="shared" si="235"/>
        <v>0</v>
      </c>
      <c r="R205" s="52">
        <f t="shared" si="235"/>
        <v>3753562</v>
      </c>
      <c r="S205" s="52">
        <f t="shared" si="235"/>
        <v>3753562</v>
      </c>
      <c r="T205" s="52">
        <f t="shared" si="235"/>
        <v>0</v>
      </c>
      <c r="U205" s="52">
        <f t="shared" si="235"/>
        <v>3753562</v>
      </c>
    </row>
    <row r="206" spans="1:21" s="17" customFormat="1" ht="15" customHeight="1">
      <c r="A206" s="14" t="s">
        <v>144</v>
      </c>
      <c r="B206" s="15" t="s">
        <v>9</v>
      </c>
      <c r="C206" s="15" t="s">
        <v>93</v>
      </c>
      <c r="D206" s="15" t="s">
        <v>31</v>
      </c>
      <c r="E206" s="15" t="s">
        <v>145</v>
      </c>
      <c r="F206" s="15" t="s">
        <v>0</v>
      </c>
      <c r="G206" s="52">
        <f t="shared" si="234"/>
        <v>3644235</v>
      </c>
      <c r="H206" s="52">
        <f t="shared" si="234"/>
        <v>11222.8</v>
      </c>
      <c r="I206" s="52">
        <f t="shared" si="234"/>
        <v>3655457.8</v>
      </c>
      <c r="J206" s="52">
        <f t="shared" si="234"/>
        <v>-1000000</v>
      </c>
      <c r="K206" s="52">
        <f t="shared" si="234"/>
        <v>2655457.7999999998</v>
      </c>
      <c r="L206" s="52">
        <f t="shared" si="234"/>
        <v>0</v>
      </c>
      <c r="M206" s="52">
        <f t="shared" si="234"/>
        <v>2655457.7999999998</v>
      </c>
      <c r="N206" s="52">
        <f t="shared" si="235"/>
        <v>3753562</v>
      </c>
      <c r="O206" s="52">
        <f t="shared" si="235"/>
        <v>0</v>
      </c>
      <c r="P206" s="52">
        <f t="shared" si="235"/>
        <v>3753562</v>
      </c>
      <c r="Q206" s="52">
        <f t="shared" si="235"/>
        <v>0</v>
      </c>
      <c r="R206" s="52">
        <f t="shared" si="235"/>
        <v>3753562</v>
      </c>
      <c r="S206" s="52">
        <f t="shared" si="235"/>
        <v>3753562</v>
      </c>
      <c r="T206" s="52">
        <f t="shared" si="235"/>
        <v>0</v>
      </c>
      <c r="U206" s="52">
        <f t="shared" si="235"/>
        <v>3753562</v>
      </c>
    </row>
    <row r="207" spans="1:21" s="17" customFormat="1" ht="13.5">
      <c r="A207" s="18" t="s">
        <v>146</v>
      </c>
      <c r="B207" s="19" t="s">
        <v>9</v>
      </c>
      <c r="C207" s="19" t="s">
        <v>93</v>
      </c>
      <c r="D207" s="19" t="s">
        <v>31</v>
      </c>
      <c r="E207" s="19" t="s">
        <v>147</v>
      </c>
      <c r="F207" s="19" t="s">
        <v>0</v>
      </c>
      <c r="G207" s="33">
        <f t="shared" si="234"/>
        <v>3644235</v>
      </c>
      <c r="H207" s="33">
        <f t="shared" si="234"/>
        <v>11222.8</v>
      </c>
      <c r="I207" s="33">
        <f t="shared" si="234"/>
        <v>3655457.8</v>
      </c>
      <c r="J207" s="33">
        <f t="shared" si="234"/>
        <v>-1000000</v>
      </c>
      <c r="K207" s="33">
        <f t="shared" si="234"/>
        <v>2655457.7999999998</v>
      </c>
      <c r="L207" s="33">
        <f t="shared" si="234"/>
        <v>0</v>
      </c>
      <c r="M207" s="33">
        <f t="shared" si="234"/>
        <v>2655457.7999999998</v>
      </c>
      <c r="N207" s="33">
        <f t="shared" si="235"/>
        <v>3753562</v>
      </c>
      <c r="O207" s="33">
        <f t="shared" si="235"/>
        <v>0</v>
      </c>
      <c r="P207" s="33">
        <f t="shared" si="235"/>
        <v>3753562</v>
      </c>
      <c r="Q207" s="33">
        <f t="shared" si="235"/>
        <v>0</v>
      </c>
      <c r="R207" s="33">
        <f t="shared" si="235"/>
        <v>3753562</v>
      </c>
      <c r="S207" s="33">
        <f t="shared" si="235"/>
        <v>3753562</v>
      </c>
      <c r="T207" s="33">
        <f t="shared" si="235"/>
        <v>0</v>
      </c>
      <c r="U207" s="33">
        <f t="shared" si="235"/>
        <v>3753562</v>
      </c>
    </row>
    <row r="208" spans="1:21" s="17" customFormat="1">
      <c r="A208" s="21" t="s">
        <v>21</v>
      </c>
      <c r="B208" s="22" t="s">
        <v>9</v>
      </c>
      <c r="C208" s="22" t="s">
        <v>93</v>
      </c>
      <c r="D208" s="22" t="s">
        <v>31</v>
      </c>
      <c r="E208" s="22" t="s">
        <v>147</v>
      </c>
      <c r="F208" s="22" t="s">
        <v>22</v>
      </c>
      <c r="G208" s="46">
        <v>3644235</v>
      </c>
      <c r="H208" s="46">
        <v>11222.8</v>
      </c>
      <c r="I208" s="46">
        <f>G208+H208</f>
        <v>3655457.8</v>
      </c>
      <c r="J208" s="46">
        <v>-1000000</v>
      </c>
      <c r="K208" s="46">
        <f>I208+J208</f>
        <v>2655457.7999999998</v>
      </c>
      <c r="L208" s="46">
        <v>0</v>
      </c>
      <c r="M208" s="46">
        <f>K208+L208</f>
        <v>2655457.7999999998</v>
      </c>
      <c r="N208" s="46">
        <v>3753562</v>
      </c>
      <c r="O208" s="46">
        <v>0</v>
      </c>
      <c r="P208" s="46">
        <f>N208+O208</f>
        <v>3753562</v>
      </c>
      <c r="Q208" s="46">
        <v>0</v>
      </c>
      <c r="R208" s="46">
        <f>P208+Q208</f>
        <v>3753562</v>
      </c>
      <c r="S208" s="46">
        <v>3753562</v>
      </c>
      <c r="T208" s="46">
        <v>0</v>
      </c>
      <c r="U208" s="46">
        <f>S208+T208</f>
        <v>3753562</v>
      </c>
    </row>
    <row r="209" spans="1:21" s="17" customFormat="1" ht="12.75" customHeight="1">
      <c r="A209" s="14" t="s">
        <v>228</v>
      </c>
      <c r="B209" s="15" t="s">
        <v>9</v>
      </c>
      <c r="C209" s="15" t="s">
        <v>77</v>
      </c>
      <c r="D209" s="15" t="s">
        <v>0</v>
      </c>
      <c r="E209" s="15" t="s">
        <v>0</v>
      </c>
      <c r="F209" s="15" t="s">
        <v>0</v>
      </c>
      <c r="G209" s="52">
        <f t="shared" ref="G209:M213" si="236">G210</f>
        <v>987439.46</v>
      </c>
      <c r="H209" s="52">
        <f t="shared" si="236"/>
        <v>0</v>
      </c>
      <c r="I209" s="52">
        <f t="shared" si="236"/>
        <v>987439.46</v>
      </c>
      <c r="J209" s="52">
        <f t="shared" si="236"/>
        <v>0</v>
      </c>
      <c r="K209" s="52">
        <f t="shared" si="236"/>
        <v>987439.46</v>
      </c>
      <c r="L209" s="52">
        <f t="shared" si="236"/>
        <v>0</v>
      </c>
      <c r="M209" s="52">
        <f t="shared" si="236"/>
        <v>987439.46</v>
      </c>
      <c r="N209" s="52">
        <f t="shared" ref="N209:U213" si="237">N210</f>
        <v>987439.46</v>
      </c>
      <c r="O209" s="52">
        <f t="shared" si="237"/>
        <v>0</v>
      </c>
      <c r="P209" s="52">
        <f t="shared" si="237"/>
        <v>987439.46</v>
      </c>
      <c r="Q209" s="52">
        <f t="shared" si="237"/>
        <v>0</v>
      </c>
      <c r="R209" s="52">
        <f t="shared" si="237"/>
        <v>987439.46</v>
      </c>
      <c r="S209" s="52">
        <f t="shared" si="237"/>
        <v>987439.46</v>
      </c>
      <c r="T209" s="52">
        <f t="shared" si="237"/>
        <v>0</v>
      </c>
      <c r="U209" s="52">
        <f t="shared" si="237"/>
        <v>987439.46</v>
      </c>
    </row>
    <row r="210" spans="1:21" s="17" customFormat="1">
      <c r="A210" s="14" t="s">
        <v>148</v>
      </c>
      <c r="B210" s="15" t="s">
        <v>9</v>
      </c>
      <c r="C210" s="15" t="s">
        <v>77</v>
      </c>
      <c r="D210" s="15" t="s">
        <v>12</v>
      </c>
      <c r="E210" s="15" t="s">
        <v>0</v>
      </c>
      <c r="F210" s="15" t="s">
        <v>0</v>
      </c>
      <c r="G210" s="52">
        <f t="shared" si="236"/>
        <v>987439.46</v>
      </c>
      <c r="H210" s="52">
        <f t="shared" si="236"/>
        <v>0</v>
      </c>
      <c r="I210" s="52">
        <f t="shared" si="236"/>
        <v>987439.46</v>
      </c>
      <c r="J210" s="52">
        <f t="shared" si="236"/>
        <v>0</v>
      </c>
      <c r="K210" s="52">
        <f t="shared" si="236"/>
        <v>987439.46</v>
      </c>
      <c r="L210" s="52">
        <f t="shared" si="236"/>
        <v>0</v>
      </c>
      <c r="M210" s="52">
        <f t="shared" si="236"/>
        <v>987439.46</v>
      </c>
      <c r="N210" s="52">
        <f t="shared" si="237"/>
        <v>987439.46</v>
      </c>
      <c r="O210" s="52">
        <f t="shared" si="237"/>
        <v>0</v>
      </c>
      <c r="P210" s="52">
        <f t="shared" si="237"/>
        <v>987439.46</v>
      </c>
      <c r="Q210" s="52">
        <f t="shared" si="237"/>
        <v>0</v>
      </c>
      <c r="R210" s="52">
        <f t="shared" si="237"/>
        <v>987439.46</v>
      </c>
      <c r="S210" s="52">
        <f t="shared" si="237"/>
        <v>987439.46</v>
      </c>
      <c r="T210" s="52">
        <f t="shared" si="237"/>
        <v>0</v>
      </c>
      <c r="U210" s="52">
        <f t="shared" si="237"/>
        <v>987439.46</v>
      </c>
    </row>
    <row r="211" spans="1:21" s="17" customFormat="1" ht="14.45" customHeight="1">
      <c r="A211" s="14" t="s">
        <v>13</v>
      </c>
      <c r="B211" s="15" t="s">
        <v>9</v>
      </c>
      <c r="C211" s="15" t="s">
        <v>77</v>
      </c>
      <c r="D211" s="15" t="s">
        <v>12</v>
      </c>
      <c r="E211" s="15" t="s">
        <v>14</v>
      </c>
      <c r="F211" s="15" t="s">
        <v>0</v>
      </c>
      <c r="G211" s="52">
        <f t="shared" si="236"/>
        <v>987439.46</v>
      </c>
      <c r="H211" s="52">
        <f t="shared" si="236"/>
        <v>0</v>
      </c>
      <c r="I211" s="52">
        <f t="shared" si="236"/>
        <v>987439.46</v>
      </c>
      <c r="J211" s="52">
        <f t="shared" si="236"/>
        <v>0</v>
      </c>
      <c r="K211" s="52">
        <f t="shared" si="236"/>
        <v>987439.46</v>
      </c>
      <c r="L211" s="52">
        <f t="shared" si="236"/>
        <v>0</v>
      </c>
      <c r="M211" s="52">
        <f t="shared" si="236"/>
        <v>987439.46</v>
      </c>
      <c r="N211" s="52">
        <f t="shared" si="237"/>
        <v>987439.46</v>
      </c>
      <c r="O211" s="52">
        <f t="shared" si="237"/>
        <v>0</v>
      </c>
      <c r="P211" s="52">
        <f t="shared" si="237"/>
        <v>987439.46</v>
      </c>
      <c r="Q211" s="52">
        <f t="shared" si="237"/>
        <v>0</v>
      </c>
      <c r="R211" s="52">
        <f t="shared" si="237"/>
        <v>987439.46</v>
      </c>
      <c r="S211" s="52">
        <f t="shared" si="237"/>
        <v>987439.46</v>
      </c>
      <c r="T211" s="52">
        <f t="shared" si="237"/>
        <v>0</v>
      </c>
      <c r="U211" s="52">
        <f t="shared" si="237"/>
        <v>987439.46</v>
      </c>
    </row>
    <row r="212" spans="1:21" s="17" customFormat="1">
      <c r="A212" s="14" t="s">
        <v>86</v>
      </c>
      <c r="B212" s="15" t="s">
        <v>9</v>
      </c>
      <c r="C212" s="15" t="s">
        <v>77</v>
      </c>
      <c r="D212" s="15" t="s">
        <v>12</v>
      </c>
      <c r="E212" s="15" t="s">
        <v>149</v>
      </c>
      <c r="F212" s="15" t="s">
        <v>0</v>
      </c>
      <c r="G212" s="52">
        <f t="shared" si="236"/>
        <v>987439.46</v>
      </c>
      <c r="H212" s="52">
        <f t="shared" si="236"/>
        <v>0</v>
      </c>
      <c r="I212" s="52">
        <f t="shared" si="236"/>
        <v>987439.46</v>
      </c>
      <c r="J212" s="52">
        <f t="shared" si="236"/>
        <v>0</v>
      </c>
      <c r="K212" s="52">
        <f t="shared" si="236"/>
        <v>987439.46</v>
      </c>
      <c r="L212" s="52">
        <f t="shared" si="236"/>
        <v>0</v>
      </c>
      <c r="M212" s="52">
        <f t="shared" si="236"/>
        <v>987439.46</v>
      </c>
      <c r="N212" s="52">
        <f t="shared" si="237"/>
        <v>987439.46</v>
      </c>
      <c r="O212" s="52">
        <f t="shared" si="237"/>
        <v>0</v>
      </c>
      <c r="P212" s="52">
        <f t="shared" si="237"/>
        <v>987439.46</v>
      </c>
      <c r="Q212" s="52">
        <f t="shared" si="237"/>
        <v>0</v>
      </c>
      <c r="R212" s="52">
        <f t="shared" si="237"/>
        <v>987439.46</v>
      </c>
      <c r="S212" s="52">
        <f t="shared" si="237"/>
        <v>987439.46</v>
      </c>
      <c r="T212" s="52">
        <f t="shared" si="237"/>
        <v>0</v>
      </c>
      <c r="U212" s="52">
        <f t="shared" si="237"/>
        <v>987439.46</v>
      </c>
    </row>
    <row r="213" spans="1:21" s="17" customFormat="1" ht="54" customHeight="1">
      <c r="A213" s="18" t="s">
        <v>150</v>
      </c>
      <c r="B213" s="19" t="s">
        <v>9</v>
      </c>
      <c r="C213" s="19" t="s">
        <v>77</v>
      </c>
      <c r="D213" s="19" t="s">
        <v>12</v>
      </c>
      <c r="E213" s="19" t="s">
        <v>151</v>
      </c>
      <c r="F213" s="19" t="s">
        <v>0</v>
      </c>
      <c r="G213" s="33">
        <f t="shared" si="236"/>
        <v>987439.46</v>
      </c>
      <c r="H213" s="33">
        <f t="shared" si="236"/>
        <v>0</v>
      </c>
      <c r="I213" s="33">
        <f t="shared" si="236"/>
        <v>987439.46</v>
      </c>
      <c r="J213" s="33">
        <f t="shared" si="236"/>
        <v>0</v>
      </c>
      <c r="K213" s="33">
        <f t="shared" si="236"/>
        <v>987439.46</v>
      </c>
      <c r="L213" s="33">
        <f t="shared" si="236"/>
        <v>0</v>
      </c>
      <c r="M213" s="33">
        <f t="shared" si="236"/>
        <v>987439.46</v>
      </c>
      <c r="N213" s="33">
        <f t="shared" si="237"/>
        <v>987439.46</v>
      </c>
      <c r="O213" s="33">
        <f t="shared" si="237"/>
        <v>0</v>
      </c>
      <c r="P213" s="33">
        <f t="shared" si="237"/>
        <v>987439.46</v>
      </c>
      <c r="Q213" s="33">
        <f t="shared" si="237"/>
        <v>0</v>
      </c>
      <c r="R213" s="33">
        <f t="shared" si="237"/>
        <v>987439.46</v>
      </c>
      <c r="S213" s="33">
        <f t="shared" si="237"/>
        <v>987439.46</v>
      </c>
      <c r="T213" s="33">
        <f t="shared" si="237"/>
        <v>0</v>
      </c>
      <c r="U213" s="33">
        <f t="shared" si="237"/>
        <v>987439.46</v>
      </c>
    </row>
    <row r="214" spans="1:21" s="17" customFormat="1">
      <c r="A214" s="21" t="s">
        <v>86</v>
      </c>
      <c r="B214" s="22" t="s">
        <v>9</v>
      </c>
      <c r="C214" s="22" t="s">
        <v>77</v>
      </c>
      <c r="D214" s="22" t="s">
        <v>12</v>
      </c>
      <c r="E214" s="22" t="s">
        <v>151</v>
      </c>
      <c r="F214" s="22" t="s">
        <v>87</v>
      </c>
      <c r="G214" s="46">
        <v>987439.46</v>
      </c>
      <c r="H214" s="46">
        <v>0</v>
      </c>
      <c r="I214" s="46">
        <f>G214+H214</f>
        <v>987439.46</v>
      </c>
      <c r="J214" s="46">
        <v>0</v>
      </c>
      <c r="K214" s="46">
        <f>I214+J214</f>
        <v>987439.46</v>
      </c>
      <c r="L214" s="46">
        <v>0</v>
      </c>
      <c r="M214" s="46">
        <f>K214+L214</f>
        <v>987439.46</v>
      </c>
      <c r="N214" s="46">
        <v>987439.46</v>
      </c>
      <c r="O214" s="46">
        <v>0</v>
      </c>
      <c r="P214" s="46">
        <f>N214+O214</f>
        <v>987439.46</v>
      </c>
      <c r="Q214" s="46">
        <v>0</v>
      </c>
      <c r="R214" s="46">
        <f>P214+Q214</f>
        <v>987439.46</v>
      </c>
      <c r="S214" s="46">
        <v>987439.46</v>
      </c>
      <c r="T214" s="46">
        <v>0</v>
      </c>
      <c r="U214" s="46">
        <f>S214+T214</f>
        <v>987439.46</v>
      </c>
    </row>
    <row r="215" spans="1:21" s="53" customFormat="1">
      <c r="A215" s="26" t="s">
        <v>156</v>
      </c>
      <c r="B215" s="27" t="s">
        <v>9</v>
      </c>
      <c r="C215" s="27" t="s">
        <v>0</v>
      </c>
      <c r="D215" s="27" t="s">
        <v>0</v>
      </c>
      <c r="E215" s="27" t="s">
        <v>0</v>
      </c>
      <c r="F215" s="27" t="s">
        <v>0</v>
      </c>
      <c r="G215" s="28">
        <f t="shared" ref="G215:M219" si="238">G216</f>
        <v>4939575.9499999993</v>
      </c>
      <c r="H215" s="28">
        <f t="shared" si="238"/>
        <v>0</v>
      </c>
      <c r="I215" s="28">
        <f t="shared" si="238"/>
        <v>4939575.9499999993</v>
      </c>
      <c r="J215" s="28">
        <f t="shared" si="238"/>
        <v>193453.29</v>
      </c>
      <c r="K215" s="28">
        <f t="shared" si="238"/>
        <v>5133029.2399999993</v>
      </c>
      <c r="L215" s="28">
        <f t="shared" si="238"/>
        <v>1075762.1100000001</v>
      </c>
      <c r="M215" s="28">
        <f t="shared" si="238"/>
        <v>6208791.3499999996</v>
      </c>
      <c r="N215" s="28">
        <f t="shared" ref="N215:U219" si="239">N216</f>
        <v>5679628.8700000001</v>
      </c>
      <c r="O215" s="28">
        <f t="shared" si="239"/>
        <v>749582.67</v>
      </c>
      <c r="P215" s="28">
        <f t="shared" si="239"/>
        <v>5179907.09</v>
      </c>
      <c r="Q215" s="28">
        <f t="shared" si="239"/>
        <v>0</v>
      </c>
      <c r="R215" s="28">
        <f t="shared" si="239"/>
        <v>5179907.09</v>
      </c>
      <c r="S215" s="28">
        <f t="shared" si="239"/>
        <v>5281664</v>
      </c>
      <c r="T215" s="28">
        <f t="shared" si="239"/>
        <v>0</v>
      </c>
      <c r="U215" s="28">
        <f t="shared" si="239"/>
        <v>5281664</v>
      </c>
    </row>
    <row r="216" spans="1:21" s="17" customFormat="1">
      <c r="A216" s="14" t="s">
        <v>230</v>
      </c>
      <c r="B216" s="24" t="s">
        <v>9</v>
      </c>
      <c r="C216" s="24" t="s">
        <v>10</v>
      </c>
      <c r="D216" s="24" t="s">
        <v>0</v>
      </c>
      <c r="E216" s="24" t="s">
        <v>0</v>
      </c>
      <c r="F216" s="24" t="s">
        <v>0</v>
      </c>
      <c r="G216" s="25">
        <f t="shared" si="238"/>
        <v>4939575.9499999993</v>
      </c>
      <c r="H216" s="25">
        <f t="shared" si="238"/>
        <v>0</v>
      </c>
      <c r="I216" s="25">
        <f t="shared" si="238"/>
        <v>4939575.9499999993</v>
      </c>
      <c r="J216" s="25">
        <f t="shared" si="238"/>
        <v>193453.29</v>
      </c>
      <c r="K216" s="25">
        <f t="shared" si="238"/>
        <v>5133029.2399999993</v>
      </c>
      <c r="L216" s="25">
        <f t="shared" si="238"/>
        <v>1075762.1100000001</v>
      </c>
      <c r="M216" s="25">
        <f t="shared" si="238"/>
        <v>6208791.3499999996</v>
      </c>
      <c r="N216" s="25">
        <f t="shared" si="239"/>
        <v>5679628.8700000001</v>
      </c>
      <c r="O216" s="25">
        <f t="shared" si="239"/>
        <v>749582.67</v>
      </c>
      <c r="P216" s="25">
        <f t="shared" si="239"/>
        <v>5179907.09</v>
      </c>
      <c r="Q216" s="25">
        <f t="shared" si="239"/>
        <v>0</v>
      </c>
      <c r="R216" s="25">
        <f t="shared" si="239"/>
        <v>5179907.09</v>
      </c>
      <c r="S216" s="25">
        <f t="shared" si="239"/>
        <v>5281664</v>
      </c>
      <c r="T216" s="25">
        <f t="shared" si="239"/>
        <v>0</v>
      </c>
      <c r="U216" s="25">
        <f t="shared" si="239"/>
        <v>5281664</v>
      </c>
    </row>
    <row r="217" spans="1:21" s="17" customFormat="1" ht="27.75" customHeight="1">
      <c r="A217" s="23" t="s">
        <v>152</v>
      </c>
      <c r="B217" s="24" t="s">
        <v>9</v>
      </c>
      <c r="C217" s="24" t="s">
        <v>10</v>
      </c>
      <c r="D217" s="24" t="s">
        <v>153</v>
      </c>
      <c r="E217" s="24" t="s">
        <v>0</v>
      </c>
      <c r="F217" s="24" t="s">
        <v>0</v>
      </c>
      <c r="G217" s="25">
        <f t="shared" si="238"/>
        <v>4939575.9499999993</v>
      </c>
      <c r="H217" s="25">
        <f t="shared" si="238"/>
        <v>0</v>
      </c>
      <c r="I217" s="25">
        <f t="shared" si="238"/>
        <v>4939575.9499999993</v>
      </c>
      <c r="J217" s="25">
        <f t="shared" si="238"/>
        <v>193453.29</v>
      </c>
      <c r="K217" s="25">
        <f t="shared" si="238"/>
        <v>5133029.2399999993</v>
      </c>
      <c r="L217" s="25">
        <f t="shared" si="238"/>
        <v>1075762.1100000001</v>
      </c>
      <c r="M217" s="25">
        <f t="shared" si="238"/>
        <v>6208791.3499999996</v>
      </c>
      <c r="N217" s="25">
        <f t="shared" si="239"/>
        <v>5679628.8700000001</v>
      </c>
      <c r="O217" s="25">
        <f t="shared" si="239"/>
        <v>749582.67</v>
      </c>
      <c r="P217" s="25">
        <f t="shared" si="239"/>
        <v>5179907.09</v>
      </c>
      <c r="Q217" s="25">
        <f t="shared" si="239"/>
        <v>0</v>
      </c>
      <c r="R217" s="25">
        <f t="shared" si="239"/>
        <v>5179907.09</v>
      </c>
      <c r="S217" s="25">
        <f t="shared" si="239"/>
        <v>5281664</v>
      </c>
      <c r="T217" s="25">
        <f t="shared" si="239"/>
        <v>0</v>
      </c>
      <c r="U217" s="25">
        <f t="shared" si="239"/>
        <v>5281664</v>
      </c>
    </row>
    <row r="218" spans="1:21" s="17" customFormat="1">
      <c r="A218" s="23" t="s">
        <v>13</v>
      </c>
      <c r="B218" s="24" t="s">
        <v>9</v>
      </c>
      <c r="C218" s="24" t="s">
        <v>10</v>
      </c>
      <c r="D218" s="24" t="s">
        <v>153</v>
      </c>
      <c r="E218" s="24" t="s">
        <v>14</v>
      </c>
      <c r="F218" s="24" t="s">
        <v>0</v>
      </c>
      <c r="G218" s="25">
        <f t="shared" si="238"/>
        <v>4939575.9499999993</v>
      </c>
      <c r="H218" s="25">
        <f t="shared" si="238"/>
        <v>0</v>
      </c>
      <c r="I218" s="25">
        <f t="shared" si="238"/>
        <v>4939575.9499999993</v>
      </c>
      <c r="J218" s="25">
        <f t="shared" si="238"/>
        <v>193453.29</v>
      </c>
      <c r="K218" s="25">
        <f t="shared" si="238"/>
        <v>5133029.2399999993</v>
      </c>
      <c r="L218" s="25">
        <f t="shared" si="238"/>
        <v>1075762.1100000001</v>
      </c>
      <c r="M218" s="25">
        <f t="shared" si="238"/>
        <v>6208791.3499999996</v>
      </c>
      <c r="N218" s="25">
        <f t="shared" si="239"/>
        <v>5679628.8700000001</v>
      </c>
      <c r="O218" s="25">
        <f t="shared" si="239"/>
        <v>749582.67</v>
      </c>
      <c r="P218" s="25">
        <f t="shared" si="239"/>
        <v>5179907.09</v>
      </c>
      <c r="Q218" s="25">
        <f t="shared" si="239"/>
        <v>0</v>
      </c>
      <c r="R218" s="25">
        <f t="shared" si="239"/>
        <v>5179907.09</v>
      </c>
      <c r="S218" s="25">
        <f t="shared" si="239"/>
        <v>5281664</v>
      </c>
      <c r="T218" s="25">
        <f t="shared" si="239"/>
        <v>0</v>
      </c>
      <c r="U218" s="25">
        <f t="shared" si="239"/>
        <v>5281664</v>
      </c>
    </row>
    <row r="219" spans="1:21" s="17" customFormat="1" ht="25.5">
      <c r="A219" s="23" t="s">
        <v>15</v>
      </c>
      <c r="B219" s="24" t="s">
        <v>9</v>
      </c>
      <c r="C219" s="24" t="s">
        <v>10</v>
      </c>
      <c r="D219" s="24" t="s">
        <v>153</v>
      </c>
      <c r="E219" s="24" t="s">
        <v>16</v>
      </c>
      <c r="F219" s="24" t="s">
        <v>0</v>
      </c>
      <c r="G219" s="25">
        <f t="shared" si="238"/>
        <v>4939575.9499999993</v>
      </c>
      <c r="H219" s="25">
        <f t="shared" si="238"/>
        <v>0</v>
      </c>
      <c r="I219" s="25">
        <f t="shared" si="238"/>
        <v>4939575.9499999993</v>
      </c>
      <c r="J219" s="25">
        <f t="shared" si="238"/>
        <v>193453.29</v>
      </c>
      <c r="K219" s="25">
        <f t="shared" si="238"/>
        <v>5133029.2399999993</v>
      </c>
      <c r="L219" s="25">
        <f t="shared" si="238"/>
        <v>1075762.1100000001</v>
      </c>
      <c r="M219" s="25">
        <f t="shared" si="238"/>
        <v>6208791.3499999996</v>
      </c>
      <c r="N219" s="25">
        <f t="shared" si="239"/>
        <v>5679628.8700000001</v>
      </c>
      <c r="O219" s="25">
        <f t="shared" si="239"/>
        <v>749582.67</v>
      </c>
      <c r="P219" s="25">
        <f t="shared" si="239"/>
        <v>5179907.09</v>
      </c>
      <c r="Q219" s="25">
        <f t="shared" si="239"/>
        <v>0</v>
      </c>
      <c r="R219" s="25">
        <f t="shared" si="239"/>
        <v>5179907.09</v>
      </c>
      <c r="S219" s="25">
        <f t="shared" si="239"/>
        <v>5281664</v>
      </c>
      <c r="T219" s="25">
        <f t="shared" si="239"/>
        <v>0</v>
      </c>
      <c r="U219" s="25">
        <f t="shared" si="239"/>
        <v>5281664</v>
      </c>
    </row>
    <row r="220" spans="1:21" s="17" customFormat="1" ht="27">
      <c r="A220" s="29" t="s">
        <v>154</v>
      </c>
      <c r="B220" s="30" t="s">
        <v>9</v>
      </c>
      <c r="C220" s="30" t="s">
        <v>10</v>
      </c>
      <c r="D220" s="30" t="s">
        <v>153</v>
      </c>
      <c r="E220" s="30" t="s">
        <v>155</v>
      </c>
      <c r="F220" s="30" t="s">
        <v>0</v>
      </c>
      <c r="G220" s="31">
        <f t="shared" ref="G220:H220" si="240">G221+G222+G224</f>
        <v>4939575.9499999993</v>
      </c>
      <c r="H220" s="31">
        <f t="shared" si="240"/>
        <v>0</v>
      </c>
      <c r="I220" s="31">
        <f>I221+I222+I224+I223</f>
        <v>4939575.9499999993</v>
      </c>
      <c r="J220" s="31">
        <f t="shared" ref="J220:U220" si="241">J221+J222+J224+J223</f>
        <v>193453.29</v>
      </c>
      <c r="K220" s="31">
        <f t="shared" si="241"/>
        <v>5133029.2399999993</v>
      </c>
      <c r="L220" s="31">
        <f t="shared" ref="L220:M220" si="242">L221+L222+L224+L223</f>
        <v>1075762.1100000001</v>
      </c>
      <c r="M220" s="31">
        <f t="shared" si="242"/>
        <v>6208791.3499999996</v>
      </c>
      <c r="N220" s="31">
        <f t="shared" si="241"/>
        <v>5679628.8700000001</v>
      </c>
      <c r="O220" s="31">
        <f t="shared" si="241"/>
        <v>749582.67</v>
      </c>
      <c r="P220" s="31">
        <f t="shared" si="241"/>
        <v>5179907.09</v>
      </c>
      <c r="Q220" s="31">
        <f t="shared" si="241"/>
        <v>0</v>
      </c>
      <c r="R220" s="31">
        <f t="shared" si="241"/>
        <v>5179907.09</v>
      </c>
      <c r="S220" s="31">
        <f t="shared" si="241"/>
        <v>5281664</v>
      </c>
      <c r="T220" s="31">
        <f t="shared" si="241"/>
        <v>0</v>
      </c>
      <c r="U220" s="31">
        <f t="shared" si="241"/>
        <v>5281664</v>
      </c>
    </row>
    <row r="221" spans="1:21" s="17" customFormat="1">
      <c r="A221" s="21" t="s">
        <v>19</v>
      </c>
      <c r="B221" s="22" t="s">
        <v>9</v>
      </c>
      <c r="C221" s="22" t="s">
        <v>10</v>
      </c>
      <c r="D221" s="22" t="s">
        <v>153</v>
      </c>
      <c r="E221" s="22" t="s">
        <v>155</v>
      </c>
      <c r="F221" s="22" t="s">
        <v>20</v>
      </c>
      <c r="G221" s="11">
        <v>4773781.43</v>
      </c>
      <c r="H221" s="11">
        <v>0</v>
      </c>
      <c r="I221" s="11">
        <f>G221+H221</f>
        <v>4773781.43</v>
      </c>
      <c r="J221" s="11">
        <v>-56407.6</v>
      </c>
      <c r="K221" s="11">
        <f>I221+J221</f>
        <v>4717373.83</v>
      </c>
      <c r="L221" s="11">
        <f>874026.63+201735.48</f>
        <v>1075762.1100000001</v>
      </c>
      <c r="M221" s="11">
        <f>K221+L221</f>
        <v>5793135.9400000004</v>
      </c>
      <c r="N221" s="11">
        <v>4955578.53</v>
      </c>
      <c r="O221" s="11">
        <v>0</v>
      </c>
      <c r="P221" s="11">
        <f>N221+O221</f>
        <v>4955578.53</v>
      </c>
      <c r="Q221" s="11">
        <v>0</v>
      </c>
      <c r="R221" s="11">
        <f>P221+Q221</f>
        <v>4955578.53</v>
      </c>
      <c r="S221" s="11">
        <v>5117789.72</v>
      </c>
      <c r="T221" s="11">
        <v>0</v>
      </c>
      <c r="U221" s="11">
        <f>S221+T221</f>
        <v>5117789.72</v>
      </c>
    </row>
    <row r="222" spans="1:21" s="17" customFormat="1">
      <c r="A222" s="21" t="s">
        <v>21</v>
      </c>
      <c r="B222" s="22" t="s">
        <v>9</v>
      </c>
      <c r="C222" s="22" t="s">
        <v>10</v>
      </c>
      <c r="D222" s="22" t="s">
        <v>153</v>
      </c>
      <c r="E222" s="22" t="s">
        <v>155</v>
      </c>
      <c r="F222" s="22" t="s">
        <v>22</v>
      </c>
      <c r="G222" s="11">
        <v>155434.51999999999</v>
      </c>
      <c r="H222" s="11">
        <v>0</v>
      </c>
      <c r="I222" s="11">
        <f>G222+H222</f>
        <v>155434.51999999999</v>
      </c>
      <c r="J222" s="11">
        <v>0</v>
      </c>
      <c r="K222" s="11">
        <f>I222+J222</f>
        <v>155434.51999999999</v>
      </c>
      <c r="L222" s="11">
        <v>0</v>
      </c>
      <c r="M222" s="11">
        <f>K222+L222</f>
        <v>155434.51999999999</v>
      </c>
      <c r="N222" s="11">
        <v>213657.56</v>
      </c>
      <c r="O222" s="11">
        <v>0</v>
      </c>
      <c r="P222" s="11">
        <f t="shared" ref="P222:P224" si="243">N222+O222</f>
        <v>213657.56</v>
      </c>
      <c r="Q222" s="11">
        <v>0</v>
      </c>
      <c r="R222" s="11">
        <f t="shared" ref="R222:R224" si="244">P222+Q222</f>
        <v>213657.56</v>
      </c>
      <c r="S222" s="11">
        <v>152883.28</v>
      </c>
      <c r="T222" s="11">
        <v>0</v>
      </c>
      <c r="U222" s="11">
        <f t="shared" ref="U222:U224" si="245">S222+T222</f>
        <v>152883.28</v>
      </c>
    </row>
    <row r="223" spans="1:21" s="17" customFormat="1">
      <c r="A223" s="21" t="s">
        <v>72</v>
      </c>
      <c r="B223" s="22" t="s">
        <v>9</v>
      </c>
      <c r="C223" s="22" t="s">
        <v>10</v>
      </c>
      <c r="D223" s="22" t="s">
        <v>153</v>
      </c>
      <c r="E223" s="22" t="s">
        <v>155</v>
      </c>
      <c r="F223" s="22">
        <v>300</v>
      </c>
      <c r="G223" s="11"/>
      <c r="H223" s="11"/>
      <c r="I223" s="11">
        <v>0</v>
      </c>
      <c r="J223" s="11">
        <f>56407.6+193453.29</f>
        <v>249860.89</v>
      </c>
      <c r="K223" s="11">
        <f>I223+J223</f>
        <v>249860.89</v>
      </c>
      <c r="L223" s="11">
        <v>0</v>
      </c>
      <c r="M223" s="11">
        <f>K223+L223</f>
        <v>249860.89</v>
      </c>
      <c r="N223" s="11">
        <f>J223+K223</f>
        <v>499721.78</v>
      </c>
      <c r="O223" s="11">
        <f>K223+N223</f>
        <v>749582.67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1:21" s="17" customFormat="1">
      <c r="A224" s="21" t="s">
        <v>40</v>
      </c>
      <c r="B224" s="22" t="s">
        <v>9</v>
      </c>
      <c r="C224" s="22" t="s">
        <v>10</v>
      </c>
      <c r="D224" s="22" t="s">
        <v>153</v>
      </c>
      <c r="E224" s="22" t="s">
        <v>155</v>
      </c>
      <c r="F224" s="22" t="s">
        <v>41</v>
      </c>
      <c r="G224" s="11">
        <v>10360</v>
      </c>
      <c r="H224" s="11">
        <v>0</v>
      </c>
      <c r="I224" s="11">
        <f>G224+H224</f>
        <v>10360</v>
      </c>
      <c r="J224" s="11">
        <v>0</v>
      </c>
      <c r="K224" s="11">
        <f>I224+J224</f>
        <v>10360</v>
      </c>
      <c r="L224" s="11">
        <v>0</v>
      </c>
      <c r="M224" s="11">
        <f>K224+L224</f>
        <v>10360</v>
      </c>
      <c r="N224" s="11">
        <v>10671</v>
      </c>
      <c r="O224" s="11">
        <v>0</v>
      </c>
      <c r="P224" s="11">
        <f t="shared" si="243"/>
        <v>10671</v>
      </c>
      <c r="Q224" s="11">
        <v>0</v>
      </c>
      <c r="R224" s="11">
        <f t="shared" si="244"/>
        <v>10671</v>
      </c>
      <c r="S224" s="11">
        <v>10991</v>
      </c>
      <c r="T224" s="11">
        <v>0</v>
      </c>
      <c r="U224" s="11">
        <f t="shared" si="245"/>
        <v>10991</v>
      </c>
    </row>
    <row r="225" spans="1:21" s="53" customFormat="1" ht="25.5">
      <c r="A225" s="26" t="s">
        <v>213</v>
      </c>
      <c r="B225" s="27" t="s">
        <v>9</v>
      </c>
      <c r="C225" s="27" t="s">
        <v>0</v>
      </c>
      <c r="D225" s="27" t="s">
        <v>0</v>
      </c>
      <c r="E225" s="27" t="s">
        <v>0</v>
      </c>
      <c r="F225" s="27" t="s">
        <v>0</v>
      </c>
      <c r="G225" s="13">
        <f t="shared" ref="G225:U225" si="246">G226+G235+G256</f>
        <v>267224883.61000001</v>
      </c>
      <c r="H225" s="13">
        <f t="shared" si="246"/>
        <v>247617721.48999995</v>
      </c>
      <c r="I225" s="13">
        <f t="shared" si="246"/>
        <v>514842605.09999996</v>
      </c>
      <c r="J225" s="13">
        <f t="shared" ref="J225:K225" si="247">J226+J235+J256</f>
        <v>1224636.6499999948</v>
      </c>
      <c r="K225" s="13">
        <f t="shared" si="247"/>
        <v>516067241.75</v>
      </c>
      <c r="L225" s="13">
        <f t="shared" ref="L225:M225" si="248">L226+L235+L256</f>
        <v>9192116.5599999987</v>
      </c>
      <c r="M225" s="13">
        <f t="shared" si="248"/>
        <v>525259358.30999994</v>
      </c>
      <c r="N225" s="13">
        <f t="shared" si="246"/>
        <v>222326248.64999998</v>
      </c>
      <c r="O225" s="13">
        <f t="shared" si="246"/>
        <v>0</v>
      </c>
      <c r="P225" s="13">
        <f t="shared" si="246"/>
        <v>222326248.64999998</v>
      </c>
      <c r="Q225" s="13">
        <f t="shared" ref="Q225:R225" si="249">Q226+Q235+Q256</f>
        <v>0</v>
      </c>
      <c r="R225" s="13">
        <f t="shared" si="249"/>
        <v>222326248.64999998</v>
      </c>
      <c r="S225" s="13">
        <f t="shared" si="246"/>
        <v>223964652.33000001</v>
      </c>
      <c r="T225" s="13">
        <f t="shared" si="246"/>
        <v>0</v>
      </c>
      <c r="U225" s="13">
        <f t="shared" si="246"/>
        <v>223964652.33000001</v>
      </c>
    </row>
    <row r="226" spans="1:21" s="53" customFormat="1">
      <c r="A226" s="50" t="s">
        <v>241</v>
      </c>
      <c r="B226" s="51" t="s">
        <v>9</v>
      </c>
      <c r="C226" s="51" t="s">
        <v>10</v>
      </c>
      <c r="D226" s="51" t="s">
        <v>0</v>
      </c>
      <c r="E226" s="51" t="s">
        <v>0</v>
      </c>
      <c r="F226" s="51" t="s">
        <v>0</v>
      </c>
      <c r="G226" s="52">
        <f t="shared" ref="G226:U230" si="250">G227</f>
        <v>1515955.2</v>
      </c>
      <c r="H226" s="52">
        <f t="shared" si="250"/>
        <v>0</v>
      </c>
      <c r="I226" s="52">
        <f t="shared" si="250"/>
        <v>1515955.2</v>
      </c>
      <c r="J226" s="52">
        <f t="shared" si="250"/>
        <v>0</v>
      </c>
      <c r="K226" s="52">
        <f t="shared" si="250"/>
        <v>1515955.2</v>
      </c>
      <c r="L226" s="52">
        <f t="shared" si="250"/>
        <v>0</v>
      </c>
      <c r="M226" s="52">
        <f t="shared" si="250"/>
        <v>1515955.2</v>
      </c>
      <c r="N226" s="52">
        <f t="shared" si="250"/>
        <v>0</v>
      </c>
      <c r="O226" s="52">
        <f t="shared" si="250"/>
        <v>0</v>
      </c>
      <c r="P226" s="52">
        <f t="shared" si="250"/>
        <v>0</v>
      </c>
      <c r="Q226" s="52">
        <f t="shared" si="250"/>
        <v>0</v>
      </c>
      <c r="R226" s="52">
        <f t="shared" si="250"/>
        <v>0</v>
      </c>
      <c r="S226" s="52">
        <f t="shared" si="250"/>
        <v>0</v>
      </c>
      <c r="T226" s="52">
        <f t="shared" si="250"/>
        <v>0</v>
      </c>
      <c r="U226" s="52">
        <f t="shared" si="250"/>
        <v>0</v>
      </c>
    </row>
    <row r="227" spans="1:21" s="53" customFormat="1">
      <c r="A227" s="50" t="s">
        <v>50</v>
      </c>
      <c r="B227" s="51" t="s">
        <v>9</v>
      </c>
      <c r="C227" s="40" t="s">
        <v>10</v>
      </c>
      <c r="D227" s="40" t="s">
        <v>51</v>
      </c>
      <c r="E227" s="51" t="s">
        <v>0</v>
      </c>
      <c r="F227" s="51" t="s">
        <v>0</v>
      </c>
      <c r="G227" s="52">
        <f t="shared" ref="G227:U227" si="251">G228+G232</f>
        <v>1515955.2</v>
      </c>
      <c r="H227" s="52">
        <f t="shared" si="251"/>
        <v>0</v>
      </c>
      <c r="I227" s="52">
        <f t="shared" si="251"/>
        <v>1515955.2</v>
      </c>
      <c r="J227" s="52">
        <f t="shared" ref="J227:K227" si="252">J228+J232</f>
        <v>0</v>
      </c>
      <c r="K227" s="52">
        <f t="shared" si="252"/>
        <v>1515955.2</v>
      </c>
      <c r="L227" s="52">
        <f t="shared" ref="L227:M227" si="253">L228+L232</f>
        <v>0</v>
      </c>
      <c r="M227" s="52">
        <f t="shared" si="253"/>
        <v>1515955.2</v>
      </c>
      <c r="N227" s="52">
        <f t="shared" si="251"/>
        <v>0</v>
      </c>
      <c r="O227" s="52">
        <f t="shared" si="251"/>
        <v>0</v>
      </c>
      <c r="P227" s="52">
        <f t="shared" si="251"/>
        <v>0</v>
      </c>
      <c r="Q227" s="52">
        <f t="shared" ref="Q227:R227" si="254">Q228+Q232</f>
        <v>0</v>
      </c>
      <c r="R227" s="52">
        <f t="shared" si="254"/>
        <v>0</v>
      </c>
      <c r="S227" s="52">
        <f t="shared" si="251"/>
        <v>0</v>
      </c>
      <c r="T227" s="52">
        <f t="shared" si="251"/>
        <v>0</v>
      </c>
      <c r="U227" s="52">
        <f t="shared" si="251"/>
        <v>0</v>
      </c>
    </row>
    <row r="228" spans="1:21" s="53" customFormat="1" hidden="1" outlineLevel="1">
      <c r="A228" s="50" t="s">
        <v>52</v>
      </c>
      <c r="B228" s="51" t="s">
        <v>9</v>
      </c>
      <c r="C228" s="40" t="s">
        <v>10</v>
      </c>
      <c r="D228" s="40" t="s">
        <v>51</v>
      </c>
      <c r="E228" s="51" t="s">
        <v>53</v>
      </c>
      <c r="F228" s="51" t="s">
        <v>0</v>
      </c>
      <c r="G228" s="52">
        <f t="shared" si="250"/>
        <v>0</v>
      </c>
      <c r="H228" s="52">
        <f t="shared" si="250"/>
        <v>0</v>
      </c>
      <c r="I228" s="52">
        <f t="shared" si="250"/>
        <v>0</v>
      </c>
      <c r="J228" s="52">
        <f t="shared" si="250"/>
        <v>0</v>
      </c>
      <c r="K228" s="52">
        <f t="shared" si="250"/>
        <v>0</v>
      </c>
      <c r="L228" s="52">
        <f t="shared" si="250"/>
        <v>0</v>
      </c>
      <c r="M228" s="52">
        <f t="shared" si="250"/>
        <v>0</v>
      </c>
      <c r="N228" s="52">
        <f t="shared" si="250"/>
        <v>0</v>
      </c>
      <c r="O228" s="52">
        <f t="shared" si="250"/>
        <v>0</v>
      </c>
      <c r="P228" s="52">
        <f t="shared" si="250"/>
        <v>0</v>
      </c>
      <c r="Q228" s="52">
        <f t="shared" si="250"/>
        <v>0</v>
      </c>
      <c r="R228" s="52">
        <f t="shared" si="250"/>
        <v>0</v>
      </c>
      <c r="S228" s="52">
        <f t="shared" si="250"/>
        <v>0</v>
      </c>
      <c r="T228" s="52">
        <f t="shared" si="250"/>
        <v>0</v>
      </c>
      <c r="U228" s="52">
        <f t="shared" si="250"/>
        <v>0</v>
      </c>
    </row>
    <row r="229" spans="1:21" s="53" customFormat="1" hidden="1" outlineLevel="1">
      <c r="A229" s="39" t="s">
        <v>54</v>
      </c>
      <c r="B229" s="51" t="s">
        <v>9</v>
      </c>
      <c r="C229" s="40" t="s">
        <v>10</v>
      </c>
      <c r="D229" s="40" t="s">
        <v>51</v>
      </c>
      <c r="E229" s="40" t="s">
        <v>55</v>
      </c>
      <c r="F229" s="51" t="s">
        <v>0</v>
      </c>
      <c r="G229" s="52">
        <f t="shared" si="250"/>
        <v>0</v>
      </c>
      <c r="H229" s="52">
        <f t="shared" si="250"/>
        <v>0</v>
      </c>
      <c r="I229" s="52">
        <f t="shared" si="250"/>
        <v>0</v>
      </c>
      <c r="J229" s="52">
        <f t="shared" si="250"/>
        <v>0</v>
      </c>
      <c r="K229" s="52">
        <f t="shared" si="250"/>
        <v>0</v>
      </c>
      <c r="L229" s="52">
        <f t="shared" si="250"/>
        <v>0</v>
      </c>
      <c r="M229" s="52">
        <f t="shared" si="250"/>
        <v>0</v>
      </c>
      <c r="N229" s="52">
        <f t="shared" si="250"/>
        <v>0</v>
      </c>
      <c r="O229" s="52">
        <f t="shared" si="250"/>
        <v>0</v>
      </c>
      <c r="P229" s="52">
        <f t="shared" si="250"/>
        <v>0</v>
      </c>
      <c r="Q229" s="52">
        <f t="shared" si="250"/>
        <v>0</v>
      </c>
      <c r="R229" s="52">
        <f t="shared" si="250"/>
        <v>0</v>
      </c>
      <c r="S229" s="52">
        <f t="shared" si="250"/>
        <v>0</v>
      </c>
      <c r="T229" s="52">
        <f t="shared" si="250"/>
        <v>0</v>
      </c>
      <c r="U229" s="52">
        <f t="shared" si="250"/>
        <v>0</v>
      </c>
    </row>
    <row r="230" spans="1:21" s="53" customFormat="1" ht="13.5" hidden="1" outlineLevel="1">
      <c r="A230" s="42" t="s">
        <v>58</v>
      </c>
      <c r="B230" s="54" t="s">
        <v>9</v>
      </c>
      <c r="C230" s="43" t="s">
        <v>10</v>
      </c>
      <c r="D230" s="43" t="s">
        <v>51</v>
      </c>
      <c r="E230" s="43" t="s">
        <v>59</v>
      </c>
      <c r="F230" s="54" t="s">
        <v>0</v>
      </c>
      <c r="G230" s="33">
        <f t="shared" si="250"/>
        <v>0</v>
      </c>
      <c r="H230" s="33">
        <f t="shared" si="250"/>
        <v>0</v>
      </c>
      <c r="I230" s="33">
        <f t="shared" si="250"/>
        <v>0</v>
      </c>
      <c r="J230" s="33">
        <f t="shared" si="250"/>
        <v>0</v>
      </c>
      <c r="K230" s="33">
        <f t="shared" si="250"/>
        <v>0</v>
      </c>
      <c r="L230" s="33">
        <f t="shared" si="250"/>
        <v>0</v>
      </c>
      <c r="M230" s="33">
        <f t="shared" si="250"/>
        <v>0</v>
      </c>
      <c r="N230" s="33">
        <f t="shared" si="250"/>
        <v>0</v>
      </c>
      <c r="O230" s="33">
        <f t="shared" si="250"/>
        <v>0</v>
      </c>
      <c r="P230" s="33">
        <f t="shared" si="250"/>
        <v>0</v>
      </c>
      <c r="Q230" s="33">
        <f t="shared" si="250"/>
        <v>0</v>
      </c>
      <c r="R230" s="33">
        <f t="shared" si="250"/>
        <v>0</v>
      </c>
      <c r="S230" s="33">
        <f t="shared" si="250"/>
        <v>0</v>
      </c>
      <c r="T230" s="33">
        <f t="shared" si="250"/>
        <v>0</v>
      </c>
      <c r="U230" s="33">
        <f t="shared" si="250"/>
        <v>0</v>
      </c>
    </row>
    <row r="231" spans="1:21" s="53" customFormat="1" ht="25.5" hidden="1" outlineLevel="1">
      <c r="A231" s="47" t="s">
        <v>242</v>
      </c>
      <c r="B231" s="48" t="s">
        <v>9</v>
      </c>
      <c r="C231" s="48" t="s">
        <v>10</v>
      </c>
      <c r="D231" s="48" t="s">
        <v>51</v>
      </c>
      <c r="E231" s="48" t="s">
        <v>59</v>
      </c>
      <c r="F231" s="48" t="s">
        <v>22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</row>
    <row r="232" spans="1:21" s="53" customFormat="1" collapsed="1">
      <c r="A232" s="70" t="s">
        <v>272</v>
      </c>
      <c r="B232" s="71" t="s">
        <v>9</v>
      </c>
      <c r="C232" s="71" t="s">
        <v>10</v>
      </c>
      <c r="D232" s="71" t="s">
        <v>51</v>
      </c>
      <c r="E232" s="71" t="s">
        <v>273</v>
      </c>
      <c r="F232" s="72"/>
      <c r="G232" s="52">
        <f t="shared" ref="G232:U233" si="255">G233</f>
        <v>1515955.2</v>
      </c>
      <c r="H232" s="52">
        <f t="shared" si="255"/>
        <v>0</v>
      </c>
      <c r="I232" s="52">
        <f t="shared" si="255"/>
        <v>1515955.2</v>
      </c>
      <c r="J232" s="52">
        <f t="shared" si="255"/>
        <v>0</v>
      </c>
      <c r="K232" s="52">
        <f t="shared" si="255"/>
        <v>1515955.2</v>
      </c>
      <c r="L232" s="52">
        <f t="shared" si="255"/>
        <v>0</v>
      </c>
      <c r="M232" s="52">
        <f t="shared" si="255"/>
        <v>1515955.2</v>
      </c>
      <c r="N232" s="52">
        <f t="shared" si="255"/>
        <v>0</v>
      </c>
      <c r="O232" s="52">
        <f t="shared" si="255"/>
        <v>0</v>
      </c>
      <c r="P232" s="52">
        <f t="shared" si="255"/>
        <v>0</v>
      </c>
      <c r="Q232" s="52">
        <f t="shared" si="255"/>
        <v>0</v>
      </c>
      <c r="R232" s="52">
        <f t="shared" si="255"/>
        <v>0</v>
      </c>
      <c r="S232" s="52">
        <f t="shared" si="255"/>
        <v>0</v>
      </c>
      <c r="T232" s="52">
        <f t="shared" si="255"/>
        <v>0</v>
      </c>
      <c r="U232" s="52">
        <f t="shared" si="255"/>
        <v>0</v>
      </c>
    </row>
    <row r="233" spans="1:21" s="53" customFormat="1" ht="13.5">
      <c r="A233" s="73" t="s">
        <v>274</v>
      </c>
      <c r="B233" s="74" t="s">
        <v>9</v>
      </c>
      <c r="C233" s="74" t="s">
        <v>10</v>
      </c>
      <c r="D233" s="74" t="s">
        <v>51</v>
      </c>
      <c r="E233" s="74" t="s">
        <v>275</v>
      </c>
      <c r="F233" s="72"/>
      <c r="G233" s="33">
        <f t="shared" si="255"/>
        <v>1515955.2</v>
      </c>
      <c r="H233" s="33">
        <f t="shared" si="255"/>
        <v>0</v>
      </c>
      <c r="I233" s="33">
        <f t="shared" si="255"/>
        <v>1515955.2</v>
      </c>
      <c r="J233" s="33">
        <f t="shared" si="255"/>
        <v>0</v>
      </c>
      <c r="K233" s="33">
        <f t="shared" si="255"/>
        <v>1515955.2</v>
      </c>
      <c r="L233" s="33">
        <f t="shared" si="255"/>
        <v>0</v>
      </c>
      <c r="M233" s="33">
        <f t="shared" si="255"/>
        <v>1515955.2</v>
      </c>
      <c r="N233" s="33">
        <f t="shared" si="255"/>
        <v>0</v>
      </c>
      <c r="O233" s="33">
        <f t="shared" si="255"/>
        <v>0</v>
      </c>
      <c r="P233" s="33">
        <f t="shared" si="255"/>
        <v>0</v>
      </c>
      <c r="Q233" s="33">
        <f t="shared" si="255"/>
        <v>0</v>
      </c>
      <c r="R233" s="33">
        <f t="shared" si="255"/>
        <v>0</v>
      </c>
      <c r="S233" s="33">
        <f t="shared" si="255"/>
        <v>0</v>
      </c>
      <c r="T233" s="33">
        <f t="shared" si="255"/>
        <v>0</v>
      </c>
      <c r="U233" s="33">
        <f t="shared" si="255"/>
        <v>0</v>
      </c>
    </row>
    <row r="234" spans="1:21" s="53" customFormat="1">
      <c r="A234" s="68" t="s">
        <v>21</v>
      </c>
      <c r="B234" s="72" t="s">
        <v>9</v>
      </c>
      <c r="C234" s="72" t="s">
        <v>10</v>
      </c>
      <c r="D234" s="72" t="s">
        <v>51</v>
      </c>
      <c r="E234" s="72" t="s">
        <v>275</v>
      </c>
      <c r="F234" s="72">
        <v>200</v>
      </c>
      <c r="G234" s="46">
        <v>1515955.2</v>
      </c>
      <c r="H234" s="46">
        <v>0</v>
      </c>
      <c r="I234" s="46">
        <f>G234+H234</f>
        <v>1515955.2</v>
      </c>
      <c r="J234" s="46">
        <v>0</v>
      </c>
      <c r="K234" s="46">
        <f>I234+J234</f>
        <v>1515955.2</v>
      </c>
      <c r="L234" s="46">
        <v>0</v>
      </c>
      <c r="M234" s="46">
        <f>K234+L234</f>
        <v>1515955.2</v>
      </c>
      <c r="N234" s="46">
        <v>0</v>
      </c>
      <c r="O234" s="46">
        <v>0</v>
      </c>
      <c r="P234" s="46">
        <f>N234+O234</f>
        <v>0</v>
      </c>
      <c r="Q234" s="46">
        <v>0</v>
      </c>
      <c r="R234" s="46">
        <f>P234+Q234</f>
        <v>0</v>
      </c>
      <c r="S234" s="46">
        <v>0</v>
      </c>
      <c r="T234" s="46">
        <v>0</v>
      </c>
      <c r="U234" s="46">
        <f>S234+T234</f>
        <v>0</v>
      </c>
    </row>
    <row r="235" spans="1:21" s="17" customFormat="1">
      <c r="A235" s="14" t="s">
        <v>222</v>
      </c>
      <c r="B235" s="15" t="s">
        <v>9</v>
      </c>
      <c r="C235" s="15" t="s">
        <v>31</v>
      </c>
      <c r="D235" s="15" t="s">
        <v>0</v>
      </c>
      <c r="E235" s="15" t="s">
        <v>0</v>
      </c>
      <c r="F235" s="15" t="s">
        <v>0</v>
      </c>
      <c r="G235" s="52">
        <f t="shared" ref="G235:U235" si="256">G236+G244</f>
        <v>96349784</v>
      </c>
      <c r="H235" s="52">
        <f t="shared" si="256"/>
        <v>106375800.33</v>
      </c>
      <c r="I235" s="52">
        <f t="shared" si="256"/>
        <v>202725584.32999998</v>
      </c>
      <c r="J235" s="52">
        <f t="shared" ref="J235:K235" si="257">J236+J244</f>
        <v>-20446337.010000002</v>
      </c>
      <c r="K235" s="52">
        <f t="shared" si="257"/>
        <v>182279247.31999999</v>
      </c>
      <c r="L235" s="52">
        <f t="shared" ref="L235:M235" si="258">L236+L244</f>
        <v>598992.27</v>
      </c>
      <c r="M235" s="52">
        <f t="shared" si="258"/>
        <v>182878239.58999997</v>
      </c>
      <c r="N235" s="52">
        <f t="shared" si="256"/>
        <v>92060904.25999999</v>
      </c>
      <c r="O235" s="52">
        <f t="shared" si="256"/>
        <v>0</v>
      </c>
      <c r="P235" s="52">
        <f t="shared" si="256"/>
        <v>92060904.25999999</v>
      </c>
      <c r="Q235" s="52">
        <f t="shared" ref="Q235:R235" si="259">Q236+Q244</f>
        <v>0</v>
      </c>
      <c r="R235" s="52">
        <f t="shared" si="259"/>
        <v>92060904.25999999</v>
      </c>
      <c r="S235" s="52">
        <f t="shared" si="256"/>
        <v>92061782.200000003</v>
      </c>
      <c r="T235" s="52">
        <f t="shared" si="256"/>
        <v>0</v>
      </c>
      <c r="U235" s="52">
        <f t="shared" si="256"/>
        <v>92061782.200000003</v>
      </c>
    </row>
    <row r="236" spans="1:21" s="17" customFormat="1">
      <c r="A236" s="14" t="s">
        <v>157</v>
      </c>
      <c r="B236" s="15" t="s">
        <v>9</v>
      </c>
      <c r="C236" s="15" t="s">
        <v>31</v>
      </c>
      <c r="D236" s="15" t="s">
        <v>107</v>
      </c>
      <c r="E236" s="15" t="s">
        <v>0</v>
      </c>
      <c r="F236" s="15" t="s">
        <v>0</v>
      </c>
      <c r="G236" s="52">
        <f t="shared" ref="G236:U236" si="260">G237</f>
        <v>2086016.39</v>
      </c>
      <c r="H236" s="52">
        <f t="shared" si="260"/>
        <v>2.5499999999999998</v>
      </c>
      <c r="I236" s="52">
        <f t="shared" si="260"/>
        <v>2086018.94</v>
      </c>
      <c r="J236" s="52">
        <f t="shared" si="260"/>
        <v>0</v>
      </c>
      <c r="K236" s="52">
        <f t="shared" si="260"/>
        <v>2086018.94</v>
      </c>
      <c r="L236" s="52">
        <f t="shared" si="260"/>
        <v>0</v>
      </c>
      <c r="M236" s="52">
        <f t="shared" si="260"/>
        <v>2086018.94</v>
      </c>
      <c r="N236" s="52">
        <f t="shared" si="260"/>
        <v>0</v>
      </c>
      <c r="O236" s="52">
        <f t="shared" si="260"/>
        <v>0</v>
      </c>
      <c r="P236" s="52">
        <f t="shared" si="260"/>
        <v>0</v>
      </c>
      <c r="Q236" s="52">
        <f t="shared" si="260"/>
        <v>0</v>
      </c>
      <c r="R236" s="52">
        <f t="shared" si="260"/>
        <v>0</v>
      </c>
      <c r="S236" s="52">
        <f t="shared" si="260"/>
        <v>0</v>
      </c>
      <c r="T236" s="52">
        <f t="shared" si="260"/>
        <v>0</v>
      </c>
      <c r="U236" s="52">
        <f t="shared" si="260"/>
        <v>0</v>
      </c>
    </row>
    <row r="237" spans="1:21" s="17" customFormat="1" ht="25.5">
      <c r="A237" s="14" t="s">
        <v>158</v>
      </c>
      <c r="B237" s="15" t="s">
        <v>9</v>
      </c>
      <c r="C237" s="15" t="s">
        <v>31</v>
      </c>
      <c r="D237" s="15" t="s">
        <v>107</v>
      </c>
      <c r="E237" s="15" t="s">
        <v>159</v>
      </c>
      <c r="F237" s="15" t="s">
        <v>0</v>
      </c>
      <c r="G237" s="52">
        <f t="shared" ref="G237:U237" si="261">G238+G241</f>
        <v>2086016.39</v>
      </c>
      <c r="H237" s="52">
        <f t="shared" si="261"/>
        <v>2.5499999999999998</v>
      </c>
      <c r="I237" s="52">
        <f t="shared" si="261"/>
        <v>2086018.94</v>
      </c>
      <c r="J237" s="52">
        <f t="shared" ref="J237:K237" si="262">J238+J241</f>
        <v>0</v>
      </c>
      <c r="K237" s="52">
        <f t="shared" si="262"/>
        <v>2086018.94</v>
      </c>
      <c r="L237" s="52">
        <f t="shared" ref="L237:M237" si="263">L238+L241</f>
        <v>0</v>
      </c>
      <c r="M237" s="52">
        <f t="shared" si="263"/>
        <v>2086018.94</v>
      </c>
      <c r="N237" s="52">
        <f t="shared" si="261"/>
        <v>0</v>
      </c>
      <c r="O237" s="52">
        <f t="shared" si="261"/>
        <v>0</v>
      </c>
      <c r="P237" s="52">
        <f t="shared" si="261"/>
        <v>0</v>
      </c>
      <c r="Q237" s="52">
        <f t="shared" ref="Q237:R237" si="264">Q238+Q241</f>
        <v>0</v>
      </c>
      <c r="R237" s="52">
        <f t="shared" si="264"/>
        <v>0</v>
      </c>
      <c r="S237" s="52">
        <f t="shared" si="261"/>
        <v>0</v>
      </c>
      <c r="T237" s="52">
        <f t="shared" si="261"/>
        <v>0</v>
      </c>
      <c r="U237" s="52">
        <f t="shared" si="261"/>
        <v>0</v>
      </c>
    </row>
    <row r="238" spans="1:21" s="17" customFormat="1" ht="25.5" hidden="1" outlineLevel="1">
      <c r="A238" s="14" t="s">
        <v>160</v>
      </c>
      <c r="B238" s="15" t="s">
        <v>9</v>
      </c>
      <c r="C238" s="15" t="s">
        <v>31</v>
      </c>
      <c r="D238" s="15" t="s">
        <v>107</v>
      </c>
      <c r="E238" s="15" t="s">
        <v>161</v>
      </c>
      <c r="F238" s="15" t="s">
        <v>0</v>
      </c>
      <c r="G238" s="52">
        <f t="shared" ref="G238:U239" si="265">G239</f>
        <v>0</v>
      </c>
      <c r="H238" s="52">
        <f t="shared" si="265"/>
        <v>0</v>
      </c>
      <c r="I238" s="52">
        <f t="shared" si="265"/>
        <v>0</v>
      </c>
      <c r="J238" s="52">
        <f t="shared" si="265"/>
        <v>0</v>
      </c>
      <c r="K238" s="52">
        <f t="shared" si="265"/>
        <v>0</v>
      </c>
      <c r="L238" s="52">
        <f t="shared" si="265"/>
        <v>0</v>
      </c>
      <c r="M238" s="52">
        <f t="shared" si="265"/>
        <v>0</v>
      </c>
      <c r="N238" s="52">
        <f t="shared" si="265"/>
        <v>0</v>
      </c>
      <c r="O238" s="52">
        <f t="shared" si="265"/>
        <v>0</v>
      </c>
      <c r="P238" s="52">
        <f t="shared" si="265"/>
        <v>0</v>
      </c>
      <c r="Q238" s="52">
        <f t="shared" si="265"/>
        <v>0</v>
      </c>
      <c r="R238" s="52">
        <f t="shared" si="265"/>
        <v>0</v>
      </c>
      <c r="S238" s="52">
        <f t="shared" si="265"/>
        <v>0</v>
      </c>
      <c r="T238" s="52">
        <f t="shared" si="265"/>
        <v>0</v>
      </c>
      <c r="U238" s="52">
        <f t="shared" si="265"/>
        <v>0</v>
      </c>
    </row>
    <row r="239" spans="1:21" s="17" customFormat="1" ht="54" hidden="1" outlineLevel="1">
      <c r="A239" s="18" t="s">
        <v>162</v>
      </c>
      <c r="B239" s="19" t="s">
        <v>9</v>
      </c>
      <c r="C239" s="19" t="s">
        <v>31</v>
      </c>
      <c r="D239" s="19" t="s">
        <v>107</v>
      </c>
      <c r="E239" s="19" t="s">
        <v>163</v>
      </c>
      <c r="F239" s="19" t="s">
        <v>0</v>
      </c>
      <c r="G239" s="33">
        <f t="shared" si="265"/>
        <v>0</v>
      </c>
      <c r="H239" s="33">
        <f t="shared" si="265"/>
        <v>0</v>
      </c>
      <c r="I239" s="33">
        <f t="shared" si="265"/>
        <v>0</v>
      </c>
      <c r="J239" s="33">
        <f t="shared" si="265"/>
        <v>0</v>
      </c>
      <c r="K239" s="33">
        <f t="shared" si="265"/>
        <v>0</v>
      </c>
      <c r="L239" s="33">
        <f t="shared" si="265"/>
        <v>0</v>
      </c>
      <c r="M239" s="33">
        <f t="shared" si="265"/>
        <v>0</v>
      </c>
      <c r="N239" s="33">
        <f t="shared" si="265"/>
        <v>0</v>
      </c>
      <c r="O239" s="33">
        <f t="shared" si="265"/>
        <v>0</v>
      </c>
      <c r="P239" s="33">
        <f t="shared" si="265"/>
        <v>0</v>
      </c>
      <c r="Q239" s="33">
        <f t="shared" si="265"/>
        <v>0</v>
      </c>
      <c r="R239" s="33">
        <f t="shared" si="265"/>
        <v>0</v>
      </c>
      <c r="S239" s="33">
        <f t="shared" si="265"/>
        <v>0</v>
      </c>
      <c r="T239" s="33">
        <f t="shared" si="265"/>
        <v>0</v>
      </c>
      <c r="U239" s="33">
        <f t="shared" si="265"/>
        <v>0</v>
      </c>
    </row>
    <row r="240" spans="1:21" s="17" customFormat="1" hidden="1" outlineLevel="1">
      <c r="A240" s="21" t="s">
        <v>21</v>
      </c>
      <c r="B240" s="22" t="s">
        <v>9</v>
      </c>
      <c r="C240" s="22" t="s">
        <v>31</v>
      </c>
      <c r="D240" s="22" t="s">
        <v>107</v>
      </c>
      <c r="E240" s="22" t="s">
        <v>163</v>
      </c>
      <c r="F240" s="22" t="s">
        <v>22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</row>
    <row r="241" spans="1:21" s="17" customFormat="1" collapsed="1">
      <c r="A241" s="14" t="s">
        <v>234</v>
      </c>
      <c r="B241" s="15" t="s">
        <v>9</v>
      </c>
      <c r="C241" s="15" t="s">
        <v>31</v>
      </c>
      <c r="D241" s="15" t="s">
        <v>107</v>
      </c>
      <c r="E241" s="15" t="s">
        <v>233</v>
      </c>
      <c r="F241" s="15" t="s">
        <v>0</v>
      </c>
      <c r="G241" s="52">
        <f t="shared" ref="G241:U242" si="266">G242</f>
        <v>2086016.39</v>
      </c>
      <c r="H241" s="52">
        <f t="shared" si="266"/>
        <v>2.5499999999999998</v>
      </c>
      <c r="I241" s="52">
        <f t="shared" si="266"/>
        <v>2086018.94</v>
      </c>
      <c r="J241" s="52">
        <f t="shared" si="266"/>
        <v>0</v>
      </c>
      <c r="K241" s="52">
        <f t="shared" si="266"/>
        <v>2086018.94</v>
      </c>
      <c r="L241" s="52">
        <f t="shared" si="266"/>
        <v>0</v>
      </c>
      <c r="M241" s="52">
        <f t="shared" si="266"/>
        <v>2086018.94</v>
      </c>
      <c r="N241" s="52">
        <f t="shared" si="266"/>
        <v>0</v>
      </c>
      <c r="O241" s="52">
        <f t="shared" si="266"/>
        <v>0</v>
      </c>
      <c r="P241" s="52">
        <f t="shared" si="266"/>
        <v>0</v>
      </c>
      <c r="Q241" s="52">
        <f t="shared" si="266"/>
        <v>0</v>
      </c>
      <c r="R241" s="52">
        <f t="shared" si="266"/>
        <v>0</v>
      </c>
      <c r="S241" s="52">
        <f t="shared" si="266"/>
        <v>0</v>
      </c>
      <c r="T241" s="52">
        <f t="shared" si="266"/>
        <v>0</v>
      </c>
      <c r="U241" s="52">
        <f t="shared" si="266"/>
        <v>0</v>
      </c>
    </row>
    <row r="242" spans="1:21" s="17" customFormat="1" ht="54">
      <c r="A242" s="18" t="s">
        <v>162</v>
      </c>
      <c r="B242" s="19" t="s">
        <v>9</v>
      </c>
      <c r="C242" s="19" t="s">
        <v>31</v>
      </c>
      <c r="D242" s="19" t="s">
        <v>107</v>
      </c>
      <c r="E242" s="19" t="s">
        <v>232</v>
      </c>
      <c r="F242" s="19" t="s">
        <v>0</v>
      </c>
      <c r="G242" s="33">
        <f t="shared" si="266"/>
        <v>2086016.39</v>
      </c>
      <c r="H242" s="33">
        <f t="shared" si="266"/>
        <v>2.5499999999999998</v>
      </c>
      <c r="I242" s="33">
        <f t="shared" si="266"/>
        <v>2086018.94</v>
      </c>
      <c r="J242" s="33">
        <f t="shared" si="266"/>
        <v>0</v>
      </c>
      <c r="K242" s="33">
        <f t="shared" si="266"/>
        <v>2086018.94</v>
      </c>
      <c r="L242" s="33">
        <f t="shared" si="266"/>
        <v>0</v>
      </c>
      <c r="M242" s="33">
        <f t="shared" si="266"/>
        <v>2086018.94</v>
      </c>
      <c r="N242" s="33">
        <f t="shared" si="266"/>
        <v>0</v>
      </c>
      <c r="O242" s="33">
        <f t="shared" si="266"/>
        <v>0</v>
      </c>
      <c r="P242" s="33">
        <f t="shared" si="266"/>
        <v>0</v>
      </c>
      <c r="Q242" s="33">
        <f t="shared" si="266"/>
        <v>0</v>
      </c>
      <c r="R242" s="33">
        <f t="shared" si="266"/>
        <v>0</v>
      </c>
      <c r="S242" s="33">
        <f t="shared" si="266"/>
        <v>0</v>
      </c>
      <c r="T242" s="33">
        <f t="shared" si="266"/>
        <v>0</v>
      </c>
      <c r="U242" s="33">
        <f t="shared" si="266"/>
        <v>0</v>
      </c>
    </row>
    <row r="243" spans="1:21" s="17" customFormat="1">
      <c r="A243" s="21" t="s">
        <v>21</v>
      </c>
      <c r="B243" s="22" t="s">
        <v>9</v>
      </c>
      <c r="C243" s="22" t="s">
        <v>31</v>
      </c>
      <c r="D243" s="22" t="s">
        <v>107</v>
      </c>
      <c r="E243" s="22" t="s">
        <v>232</v>
      </c>
      <c r="F243" s="22" t="s">
        <v>22</v>
      </c>
      <c r="G243" s="46">
        <v>2086016.39</v>
      </c>
      <c r="H243" s="46">
        <v>2.5499999999999998</v>
      </c>
      <c r="I243" s="46">
        <f>G243+H243</f>
        <v>2086018.94</v>
      </c>
      <c r="J243" s="46">
        <v>0</v>
      </c>
      <c r="K243" s="46">
        <f>I243+J243</f>
        <v>2086018.94</v>
      </c>
      <c r="L243" s="46">
        <v>0</v>
      </c>
      <c r="M243" s="46">
        <f>K243+L243</f>
        <v>2086018.94</v>
      </c>
      <c r="N243" s="46">
        <v>0</v>
      </c>
      <c r="O243" s="46">
        <v>0</v>
      </c>
      <c r="P243" s="46">
        <f>N243+O243</f>
        <v>0</v>
      </c>
      <c r="Q243" s="46">
        <v>0</v>
      </c>
      <c r="R243" s="46">
        <f>P243+Q243</f>
        <v>0</v>
      </c>
      <c r="S243" s="46">
        <v>0</v>
      </c>
      <c r="T243" s="46">
        <v>0</v>
      </c>
      <c r="U243" s="46">
        <f>S243+T243</f>
        <v>0</v>
      </c>
    </row>
    <row r="244" spans="1:21" s="17" customFormat="1">
      <c r="A244" s="14" t="s">
        <v>164</v>
      </c>
      <c r="B244" s="15" t="s">
        <v>9</v>
      </c>
      <c r="C244" s="15" t="s">
        <v>31</v>
      </c>
      <c r="D244" s="15" t="s">
        <v>165</v>
      </c>
      <c r="E244" s="15" t="s">
        <v>0</v>
      </c>
      <c r="F244" s="15" t="s">
        <v>0</v>
      </c>
      <c r="G244" s="52">
        <f t="shared" ref="G244:U244" si="267">G245+G249</f>
        <v>94263767.609999999</v>
      </c>
      <c r="H244" s="52">
        <f t="shared" si="267"/>
        <v>106375797.78</v>
      </c>
      <c r="I244" s="52">
        <f t="shared" si="267"/>
        <v>200639565.38999999</v>
      </c>
      <c r="J244" s="52">
        <f t="shared" ref="J244:K244" si="268">J245+J249</f>
        <v>-20446337.010000002</v>
      </c>
      <c r="K244" s="52">
        <f t="shared" si="268"/>
        <v>180193228.38</v>
      </c>
      <c r="L244" s="52">
        <f t="shared" ref="L244:M244" si="269">L245+L249</f>
        <v>598992.27</v>
      </c>
      <c r="M244" s="52">
        <f t="shared" si="269"/>
        <v>180792220.64999998</v>
      </c>
      <c r="N244" s="52">
        <f t="shared" si="267"/>
        <v>92060904.25999999</v>
      </c>
      <c r="O244" s="52">
        <f t="shared" si="267"/>
        <v>0</v>
      </c>
      <c r="P244" s="52">
        <f t="shared" si="267"/>
        <v>92060904.25999999</v>
      </c>
      <c r="Q244" s="52">
        <f t="shared" ref="Q244:R244" si="270">Q245+Q249</f>
        <v>0</v>
      </c>
      <c r="R244" s="52">
        <f t="shared" si="270"/>
        <v>92060904.25999999</v>
      </c>
      <c r="S244" s="52">
        <f t="shared" si="267"/>
        <v>92061782.200000003</v>
      </c>
      <c r="T244" s="52">
        <f t="shared" si="267"/>
        <v>0</v>
      </c>
      <c r="U244" s="52">
        <f t="shared" si="267"/>
        <v>92061782.200000003</v>
      </c>
    </row>
    <row r="245" spans="1:21" s="17" customFormat="1">
      <c r="A245" s="14" t="s">
        <v>166</v>
      </c>
      <c r="B245" s="15" t="s">
        <v>9</v>
      </c>
      <c r="C245" s="15" t="s">
        <v>31</v>
      </c>
      <c r="D245" s="15" t="s">
        <v>165</v>
      </c>
      <c r="E245" s="15" t="s">
        <v>167</v>
      </c>
      <c r="F245" s="15" t="s">
        <v>0</v>
      </c>
      <c r="G245" s="52">
        <f t="shared" ref="G245:M247" si="271">G246</f>
        <v>8219763.9400000004</v>
      </c>
      <c r="H245" s="52">
        <f t="shared" si="271"/>
        <v>0</v>
      </c>
      <c r="I245" s="52">
        <f t="shared" si="271"/>
        <v>8219763.9400000004</v>
      </c>
      <c r="J245" s="52">
        <f t="shared" si="271"/>
        <v>0</v>
      </c>
      <c r="K245" s="52">
        <f t="shared" si="271"/>
        <v>8219763.9400000004</v>
      </c>
      <c r="L245" s="52">
        <f t="shared" si="271"/>
        <v>0</v>
      </c>
      <c r="M245" s="52">
        <f t="shared" si="271"/>
        <v>8219763.9400000004</v>
      </c>
      <c r="N245" s="52">
        <f t="shared" ref="N245:U247" si="272">N246</f>
        <v>4078281</v>
      </c>
      <c r="O245" s="52">
        <f t="shared" si="272"/>
        <v>0</v>
      </c>
      <c r="P245" s="52">
        <f t="shared" si="272"/>
        <v>4078281</v>
      </c>
      <c r="Q245" s="52">
        <f t="shared" si="272"/>
        <v>0</v>
      </c>
      <c r="R245" s="52">
        <f t="shared" si="272"/>
        <v>4078281</v>
      </c>
      <c r="S245" s="52">
        <f t="shared" si="272"/>
        <v>4078281</v>
      </c>
      <c r="T245" s="52">
        <f t="shared" si="272"/>
        <v>0</v>
      </c>
      <c r="U245" s="52">
        <f t="shared" si="272"/>
        <v>4078281</v>
      </c>
    </row>
    <row r="246" spans="1:21" s="17" customFormat="1">
      <c r="A246" s="14" t="s">
        <v>168</v>
      </c>
      <c r="B246" s="15" t="s">
        <v>9</v>
      </c>
      <c r="C246" s="15" t="s">
        <v>31</v>
      </c>
      <c r="D246" s="15" t="s">
        <v>165</v>
      </c>
      <c r="E246" s="15" t="s">
        <v>169</v>
      </c>
      <c r="F246" s="15" t="s">
        <v>0</v>
      </c>
      <c r="G246" s="52">
        <f t="shared" si="271"/>
        <v>8219763.9400000004</v>
      </c>
      <c r="H246" s="52">
        <f t="shared" si="271"/>
        <v>0</v>
      </c>
      <c r="I246" s="52">
        <f t="shared" si="271"/>
        <v>8219763.9400000004</v>
      </c>
      <c r="J246" s="52">
        <f t="shared" si="271"/>
        <v>0</v>
      </c>
      <c r="K246" s="52">
        <f t="shared" si="271"/>
        <v>8219763.9400000004</v>
      </c>
      <c r="L246" s="52">
        <f t="shared" si="271"/>
        <v>0</v>
      </c>
      <c r="M246" s="52">
        <f t="shared" si="271"/>
        <v>8219763.9400000004</v>
      </c>
      <c r="N246" s="52">
        <f t="shared" si="272"/>
        <v>4078281</v>
      </c>
      <c r="O246" s="52">
        <f t="shared" si="272"/>
        <v>0</v>
      </c>
      <c r="P246" s="52">
        <f t="shared" si="272"/>
        <v>4078281</v>
      </c>
      <c r="Q246" s="52">
        <f t="shared" si="272"/>
        <v>0</v>
      </c>
      <c r="R246" s="52">
        <f t="shared" si="272"/>
        <v>4078281</v>
      </c>
      <c r="S246" s="52">
        <f t="shared" si="272"/>
        <v>4078281</v>
      </c>
      <c r="T246" s="52">
        <f t="shared" si="272"/>
        <v>0</v>
      </c>
      <c r="U246" s="52">
        <f t="shared" si="272"/>
        <v>4078281</v>
      </c>
    </row>
    <row r="247" spans="1:21" s="17" customFormat="1" ht="27">
      <c r="A247" s="18" t="s">
        <v>170</v>
      </c>
      <c r="B247" s="19" t="s">
        <v>9</v>
      </c>
      <c r="C247" s="19" t="s">
        <v>31</v>
      </c>
      <c r="D247" s="19" t="s">
        <v>165</v>
      </c>
      <c r="E247" s="19" t="s">
        <v>171</v>
      </c>
      <c r="F247" s="19" t="s">
        <v>0</v>
      </c>
      <c r="G247" s="33">
        <f t="shared" si="271"/>
        <v>8219763.9400000004</v>
      </c>
      <c r="H247" s="33">
        <f t="shared" si="271"/>
        <v>0</v>
      </c>
      <c r="I247" s="33">
        <f t="shared" si="271"/>
        <v>8219763.9400000004</v>
      </c>
      <c r="J247" s="33">
        <f t="shared" si="271"/>
        <v>0</v>
      </c>
      <c r="K247" s="33">
        <f t="shared" si="271"/>
        <v>8219763.9400000004</v>
      </c>
      <c r="L247" s="33">
        <f t="shared" si="271"/>
        <v>0</v>
      </c>
      <c r="M247" s="33">
        <f t="shared" si="271"/>
        <v>8219763.9400000004</v>
      </c>
      <c r="N247" s="33">
        <f t="shared" si="272"/>
        <v>4078281</v>
      </c>
      <c r="O247" s="33">
        <f t="shared" si="272"/>
        <v>0</v>
      </c>
      <c r="P247" s="33">
        <f t="shared" si="272"/>
        <v>4078281</v>
      </c>
      <c r="Q247" s="33">
        <f t="shared" si="272"/>
        <v>0</v>
      </c>
      <c r="R247" s="33">
        <f t="shared" si="272"/>
        <v>4078281</v>
      </c>
      <c r="S247" s="33">
        <f t="shared" si="272"/>
        <v>4078281</v>
      </c>
      <c r="T247" s="33">
        <f t="shared" si="272"/>
        <v>0</v>
      </c>
      <c r="U247" s="33">
        <f t="shared" si="272"/>
        <v>4078281</v>
      </c>
    </row>
    <row r="248" spans="1:21" s="17" customFormat="1">
      <c r="A248" s="21" t="s">
        <v>21</v>
      </c>
      <c r="B248" s="22" t="s">
        <v>9</v>
      </c>
      <c r="C248" s="22" t="s">
        <v>31</v>
      </c>
      <c r="D248" s="22" t="s">
        <v>165</v>
      </c>
      <c r="E248" s="22" t="s">
        <v>171</v>
      </c>
      <c r="F248" s="22" t="s">
        <v>22</v>
      </c>
      <c r="G248" s="46">
        <v>8219763.9400000004</v>
      </c>
      <c r="H248" s="46">
        <v>0</v>
      </c>
      <c r="I248" s="46">
        <f>G248+H248</f>
        <v>8219763.9400000004</v>
      </c>
      <c r="J248" s="46">
        <v>0</v>
      </c>
      <c r="K248" s="46">
        <f>I248+J248</f>
        <v>8219763.9400000004</v>
      </c>
      <c r="L248" s="46">
        <v>0</v>
      </c>
      <c r="M248" s="46">
        <f>K248+L248</f>
        <v>8219763.9400000004</v>
      </c>
      <c r="N248" s="46">
        <v>4078281</v>
      </c>
      <c r="O248" s="46">
        <v>0</v>
      </c>
      <c r="P248" s="46">
        <f>N248+O248</f>
        <v>4078281</v>
      </c>
      <c r="Q248" s="46">
        <v>0</v>
      </c>
      <c r="R248" s="46">
        <f>P248+Q248</f>
        <v>4078281</v>
      </c>
      <c r="S248" s="46">
        <v>4078281</v>
      </c>
      <c r="T248" s="46">
        <v>0</v>
      </c>
      <c r="U248" s="46">
        <f>S248+T248</f>
        <v>4078281</v>
      </c>
    </row>
    <row r="249" spans="1:21" s="17" customFormat="1" ht="25.5">
      <c r="A249" s="14" t="s">
        <v>172</v>
      </c>
      <c r="B249" s="15" t="s">
        <v>9</v>
      </c>
      <c r="C249" s="15" t="s">
        <v>31</v>
      </c>
      <c r="D249" s="15" t="s">
        <v>165</v>
      </c>
      <c r="E249" s="15" t="s">
        <v>173</v>
      </c>
      <c r="F249" s="15" t="s">
        <v>0</v>
      </c>
      <c r="G249" s="52">
        <f t="shared" ref="G249:U249" si="273">G250</f>
        <v>86044003.670000002</v>
      </c>
      <c r="H249" s="52">
        <f t="shared" si="273"/>
        <v>106375797.78</v>
      </c>
      <c r="I249" s="52">
        <f t="shared" si="273"/>
        <v>192419801.44999999</v>
      </c>
      <c r="J249" s="52">
        <f t="shared" si="273"/>
        <v>-20446337.010000002</v>
      </c>
      <c r="K249" s="52">
        <f t="shared" si="273"/>
        <v>171973464.44</v>
      </c>
      <c r="L249" s="52">
        <f t="shared" si="273"/>
        <v>598992.27</v>
      </c>
      <c r="M249" s="52">
        <f t="shared" si="273"/>
        <v>172572456.70999998</v>
      </c>
      <c r="N249" s="52">
        <f t="shared" si="273"/>
        <v>87982623.25999999</v>
      </c>
      <c r="O249" s="52">
        <f t="shared" si="273"/>
        <v>0</v>
      </c>
      <c r="P249" s="52">
        <f t="shared" si="273"/>
        <v>87982623.25999999</v>
      </c>
      <c r="Q249" s="52">
        <f t="shared" si="273"/>
        <v>0</v>
      </c>
      <c r="R249" s="52">
        <f t="shared" si="273"/>
        <v>87982623.25999999</v>
      </c>
      <c r="S249" s="52">
        <f t="shared" si="273"/>
        <v>87983501.200000003</v>
      </c>
      <c r="T249" s="52">
        <f t="shared" si="273"/>
        <v>0</v>
      </c>
      <c r="U249" s="52">
        <f t="shared" si="273"/>
        <v>87983501.200000003</v>
      </c>
    </row>
    <row r="250" spans="1:21" s="17" customFormat="1">
      <c r="A250" s="14" t="s">
        <v>174</v>
      </c>
      <c r="B250" s="15" t="s">
        <v>9</v>
      </c>
      <c r="C250" s="15" t="s">
        <v>31</v>
      </c>
      <c r="D250" s="15" t="s">
        <v>165</v>
      </c>
      <c r="E250" s="15" t="s">
        <v>175</v>
      </c>
      <c r="F250" s="15" t="s">
        <v>0</v>
      </c>
      <c r="G250" s="52">
        <f t="shared" ref="G250:U250" si="274">G251+G254</f>
        <v>86044003.670000002</v>
      </c>
      <c r="H250" s="52">
        <f t="shared" si="274"/>
        <v>106375797.78</v>
      </c>
      <c r="I250" s="52">
        <f t="shared" si="274"/>
        <v>192419801.44999999</v>
      </c>
      <c r="J250" s="52">
        <f t="shared" ref="J250:K250" si="275">J251+J254</f>
        <v>-20446337.010000002</v>
      </c>
      <c r="K250" s="52">
        <f t="shared" si="275"/>
        <v>171973464.44</v>
      </c>
      <c r="L250" s="52">
        <f t="shared" ref="L250:M250" si="276">L251+L254</f>
        <v>598992.27</v>
      </c>
      <c r="M250" s="52">
        <f t="shared" si="276"/>
        <v>172572456.70999998</v>
      </c>
      <c r="N250" s="52">
        <f t="shared" si="274"/>
        <v>87982623.25999999</v>
      </c>
      <c r="O250" s="52">
        <f t="shared" si="274"/>
        <v>0</v>
      </c>
      <c r="P250" s="52">
        <f t="shared" si="274"/>
        <v>87982623.25999999</v>
      </c>
      <c r="Q250" s="52">
        <f t="shared" ref="Q250:R250" si="277">Q251+Q254</f>
        <v>0</v>
      </c>
      <c r="R250" s="52">
        <f t="shared" si="277"/>
        <v>87982623.25999999</v>
      </c>
      <c r="S250" s="52">
        <f t="shared" si="274"/>
        <v>87983501.200000003</v>
      </c>
      <c r="T250" s="52">
        <f t="shared" si="274"/>
        <v>0</v>
      </c>
      <c r="U250" s="52">
        <f t="shared" si="274"/>
        <v>87983501.200000003</v>
      </c>
    </row>
    <row r="251" spans="1:21" s="17" customFormat="1" ht="27">
      <c r="A251" s="18" t="s">
        <v>176</v>
      </c>
      <c r="B251" s="19" t="s">
        <v>9</v>
      </c>
      <c r="C251" s="19" t="s">
        <v>31</v>
      </c>
      <c r="D251" s="19" t="s">
        <v>165</v>
      </c>
      <c r="E251" s="19" t="s">
        <v>177</v>
      </c>
      <c r="F251" s="19" t="s">
        <v>0</v>
      </c>
      <c r="G251" s="33">
        <f t="shared" ref="G251:U251" si="278">G252+G253</f>
        <v>86044003.670000002</v>
      </c>
      <c r="H251" s="33">
        <f t="shared" si="278"/>
        <v>106375797.78</v>
      </c>
      <c r="I251" s="33">
        <f t="shared" si="278"/>
        <v>192419801.44999999</v>
      </c>
      <c r="J251" s="33">
        <f t="shared" ref="J251:K251" si="279">J252+J253</f>
        <v>-20446337.010000002</v>
      </c>
      <c r="K251" s="33">
        <f t="shared" si="279"/>
        <v>171973464.44</v>
      </c>
      <c r="L251" s="33">
        <f t="shared" ref="L251:M251" si="280">L252+L253</f>
        <v>598992.27</v>
      </c>
      <c r="M251" s="33">
        <f t="shared" si="280"/>
        <v>172572456.70999998</v>
      </c>
      <c r="N251" s="33">
        <f t="shared" si="278"/>
        <v>87982623.25999999</v>
      </c>
      <c r="O251" s="33">
        <f t="shared" si="278"/>
        <v>0</v>
      </c>
      <c r="P251" s="33">
        <f t="shared" si="278"/>
        <v>87982623.25999999</v>
      </c>
      <c r="Q251" s="33">
        <f t="shared" ref="Q251:R251" si="281">Q252+Q253</f>
        <v>0</v>
      </c>
      <c r="R251" s="33">
        <f t="shared" si="281"/>
        <v>87982623.25999999</v>
      </c>
      <c r="S251" s="78">
        <f t="shared" si="278"/>
        <v>87983501.200000003</v>
      </c>
      <c r="T251" s="33">
        <f t="shared" si="278"/>
        <v>0</v>
      </c>
      <c r="U251" s="33">
        <f t="shared" si="278"/>
        <v>87983501.200000003</v>
      </c>
    </row>
    <row r="252" spans="1:21" s="17" customFormat="1">
      <c r="A252" s="21" t="s">
        <v>21</v>
      </c>
      <c r="B252" s="22" t="s">
        <v>9</v>
      </c>
      <c r="C252" s="22" t="s">
        <v>31</v>
      </c>
      <c r="D252" s="22" t="s">
        <v>165</v>
      </c>
      <c r="E252" s="22" t="s">
        <v>177</v>
      </c>
      <c r="F252" s="22" t="s">
        <v>22</v>
      </c>
      <c r="G252" s="46">
        <f>82878115.83+2570887.84</f>
        <v>85449003.670000002</v>
      </c>
      <c r="H252" s="46">
        <f>567975.98-91309.22-173026.28-150772.55-313533.33-199150-312000-2570887.84+1186.56+7452670.2+719352.94+682348.03+723068.36+39874.93</f>
        <v>6375797.7800000012</v>
      </c>
      <c r="I252" s="46">
        <f>G252+H252</f>
        <v>91824801.450000003</v>
      </c>
      <c r="J252" s="46">
        <f>-168000+80832.99</f>
        <v>-87167.01</v>
      </c>
      <c r="K252" s="46">
        <f>I252+J252</f>
        <v>91737634.439999998</v>
      </c>
      <c r="L252" s="46">
        <f>599000</f>
        <v>599000</v>
      </c>
      <c r="M252" s="46">
        <f>K252+L252</f>
        <v>92336634.439999998</v>
      </c>
      <c r="N252" s="81">
        <f>85407242.91+2575380.35</f>
        <v>87982623.25999999</v>
      </c>
      <c r="O252" s="81">
        <v>0</v>
      </c>
      <c r="P252" s="81">
        <f>N252+O252</f>
        <v>87982623.25999999</v>
      </c>
      <c r="Q252" s="81">
        <v>0</v>
      </c>
      <c r="R252" s="81">
        <f>P252+Q252</f>
        <v>87982623.25999999</v>
      </c>
      <c r="S252" s="82">
        <f>85407242.91+2576258.29</f>
        <v>87983501.200000003</v>
      </c>
      <c r="T252" s="81">
        <v>0</v>
      </c>
      <c r="U252" s="81">
        <f>S252+T252</f>
        <v>87983501.200000003</v>
      </c>
    </row>
    <row r="253" spans="1:21" s="17" customFormat="1" outlineLevel="1">
      <c r="A253" s="21" t="s">
        <v>38</v>
      </c>
      <c r="B253" s="22" t="s">
        <v>9</v>
      </c>
      <c r="C253" s="22" t="s">
        <v>31</v>
      </c>
      <c r="D253" s="22" t="s">
        <v>165</v>
      </c>
      <c r="E253" s="22" t="s">
        <v>177</v>
      </c>
      <c r="F253" s="48" t="s">
        <v>39</v>
      </c>
      <c r="G253" s="46">
        <v>595000</v>
      </c>
      <c r="H253" s="46">
        <v>100000000</v>
      </c>
      <c r="I253" s="46">
        <f>G253+H253</f>
        <v>100595000</v>
      </c>
      <c r="J253" s="46">
        <f>-20359170</f>
        <v>-20359170</v>
      </c>
      <c r="K253" s="46">
        <f>I253+J253</f>
        <v>80235830</v>
      </c>
      <c r="L253" s="46">
        <v>-7.73</v>
      </c>
      <c r="M253" s="46">
        <f>K253+L253</f>
        <v>80235822.269999996</v>
      </c>
      <c r="N253" s="46">
        <v>0</v>
      </c>
      <c r="O253" s="46">
        <v>0</v>
      </c>
      <c r="P253" s="81">
        <f>N253+O253</f>
        <v>0</v>
      </c>
      <c r="Q253" s="46">
        <v>0</v>
      </c>
      <c r="R253" s="81">
        <f>P253+Q253</f>
        <v>0</v>
      </c>
      <c r="S253" s="79">
        <v>0</v>
      </c>
      <c r="T253" s="46">
        <v>0</v>
      </c>
      <c r="U253" s="81">
        <f>S253+T253</f>
        <v>0</v>
      </c>
    </row>
    <row r="254" spans="1:21" s="17" customFormat="1" ht="26.25" hidden="1" customHeight="1" outlineLevel="3">
      <c r="A254" s="18" t="s">
        <v>178</v>
      </c>
      <c r="B254" s="19" t="s">
        <v>9</v>
      </c>
      <c r="C254" s="19" t="s">
        <v>31</v>
      </c>
      <c r="D254" s="19" t="s">
        <v>165</v>
      </c>
      <c r="E254" s="19" t="s">
        <v>179</v>
      </c>
      <c r="F254" s="19" t="s">
        <v>0</v>
      </c>
      <c r="G254" s="33">
        <f t="shared" ref="G254:U254" si="282">G255</f>
        <v>0</v>
      </c>
      <c r="H254" s="33">
        <f t="shared" si="282"/>
        <v>0</v>
      </c>
      <c r="I254" s="33">
        <f t="shared" si="282"/>
        <v>0</v>
      </c>
      <c r="J254" s="33">
        <f t="shared" si="282"/>
        <v>0</v>
      </c>
      <c r="K254" s="33">
        <f t="shared" si="282"/>
        <v>0</v>
      </c>
      <c r="L254" s="33">
        <f t="shared" si="282"/>
        <v>0</v>
      </c>
      <c r="M254" s="33">
        <f t="shared" si="282"/>
        <v>0</v>
      </c>
      <c r="N254" s="33">
        <f t="shared" si="282"/>
        <v>0</v>
      </c>
      <c r="O254" s="33">
        <f t="shared" si="282"/>
        <v>0</v>
      </c>
      <c r="P254" s="33">
        <f t="shared" si="282"/>
        <v>0</v>
      </c>
      <c r="Q254" s="33">
        <f t="shared" si="282"/>
        <v>0</v>
      </c>
      <c r="R254" s="33">
        <f t="shared" si="282"/>
        <v>0</v>
      </c>
      <c r="S254" s="33">
        <f t="shared" si="282"/>
        <v>0</v>
      </c>
      <c r="T254" s="33">
        <f t="shared" si="282"/>
        <v>0</v>
      </c>
      <c r="U254" s="33">
        <f t="shared" si="282"/>
        <v>0</v>
      </c>
    </row>
    <row r="255" spans="1:21" s="17" customFormat="1" ht="13.5" hidden="1" customHeight="1" outlineLevel="1" collapsed="1">
      <c r="A255" s="21" t="s">
        <v>21</v>
      </c>
      <c r="B255" s="22" t="s">
        <v>9</v>
      </c>
      <c r="C255" s="22" t="s">
        <v>31</v>
      </c>
      <c r="D255" s="22" t="s">
        <v>165</v>
      </c>
      <c r="E255" s="22" t="s">
        <v>179</v>
      </c>
      <c r="F255" s="22" t="s">
        <v>22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</row>
    <row r="256" spans="1:21" s="17" customFormat="1">
      <c r="A256" s="14" t="s">
        <v>223</v>
      </c>
      <c r="B256" s="15" t="s">
        <v>9</v>
      </c>
      <c r="C256" s="15" t="s">
        <v>107</v>
      </c>
      <c r="D256" s="15" t="s">
        <v>0</v>
      </c>
      <c r="E256" s="15" t="s">
        <v>0</v>
      </c>
      <c r="F256" s="15" t="s">
        <v>0</v>
      </c>
      <c r="G256" s="52">
        <f t="shared" ref="G256:U256" si="283">G257+G279+G298+G328</f>
        <v>169359144.41000003</v>
      </c>
      <c r="H256" s="52">
        <f t="shared" si="283"/>
        <v>141241921.15999997</v>
      </c>
      <c r="I256" s="52">
        <f t="shared" si="283"/>
        <v>310601065.56999999</v>
      </c>
      <c r="J256" s="52">
        <f t="shared" si="283"/>
        <v>21670973.659999996</v>
      </c>
      <c r="K256" s="52">
        <f t="shared" si="283"/>
        <v>332272039.23000002</v>
      </c>
      <c r="L256" s="52">
        <f t="shared" ref="L256:M256" si="284">L257+L279+L298+L328</f>
        <v>8593124.2899999991</v>
      </c>
      <c r="M256" s="52">
        <f t="shared" si="284"/>
        <v>340865163.51999998</v>
      </c>
      <c r="N256" s="52">
        <f t="shared" si="283"/>
        <v>130265344.39</v>
      </c>
      <c r="O256" s="52">
        <f t="shared" si="283"/>
        <v>0</v>
      </c>
      <c r="P256" s="52">
        <f t="shared" si="283"/>
        <v>130265344.39</v>
      </c>
      <c r="Q256" s="52">
        <f t="shared" si="283"/>
        <v>0</v>
      </c>
      <c r="R256" s="52">
        <f t="shared" si="283"/>
        <v>130265344.39</v>
      </c>
      <c r="S256" s="52">
        <f t="shared" si="283"/>
        <v>131902870.13000001</v>
      </c>
      <c r="T256" s="52">
        <f t="shared" si="283"/>
        <v>0</v>
      </c>
      <c r="U256" s="52">
        <f t="shared" si="283"/>
        <v>131902870.13000001</v>
      </c>
    </row>
    <row r="257" spans="1:21" s="17" customFormat="1">
      <c r="A257" s="14" t="s">
        <v>108</v>
      </c>
      <c r="B257" s="15" t="s">
        <v>9</v>
      </c>
      <c r="C257" s="15" t="s">
        <v>107</v>
      </c>
      <c r="D257" s="15" t="s">
        <v>10</v>
      </c>
      <c r="E257" s="15" t="s">
        <v>0</v>
      </c>
      <c r="F257" s="15" t="s">
        <v>0</v>
      </c>
      <c r="G257" s="52">
        <f t="shared" ref="G257:U257" si="285">G258</f>
        <v>12049335.99</v>
      </c>
      <c r="H257" s="52">
        <f t="shared" si="285"/>
        <v>20896333.239999998</v>
      </c>
      <c r="I257" s="52">
        <f t="shared" si="285"/>
        <v>32945669.23</v>
      </c>
      <c r="J257" s="52">
        <f t="shared" si="285"/>
        <v>1323748.9400000002</v>
      </c>
      <c r="K257" s="52">
        <f t="shared" si="285"/>
        <v>34269418.170000002</v>
      </c>
      <c r="L257" s="52">
        <f t="shared" si="285"/>
        <v>0</v>
      </c>
      <c r="M257" s="52">
        <f t="shared" si="285"/>
        <v>34269418.170000002</v>
      </c>
      <c r="N257" s="52">
        <f t="shared" si="285"/>
        <v>10238487</v>
      </c>
      <c r="O257" s="52">
        <f t="shared" si="285"/>
        <v>0</v>
      </c>
      <c r="P257" s="52">
        <f t="shared" si="285"/>
        <v>10238487</v>
      </c>
      <c r="Q257" s="52">
        <f t="shared" si="285"/>
        <v>0</v>
      </c>
      <c r="R257" s="52">
        <f t="shared" si="285"/>
        <v>10238487</v>
      </c>
      <c r="S257" s="52">
        <f t="shared" si="285"/>
        <v>10238487</v>
      </c>
      <c r="T257" s="52">
        <f t="shared" si="285"/>
        <v>0</v>
      </c>
      <c r="U257" s="52">
        <f t="shared" si="285"/>
        <v>10238487</v>
      </c>
    </row>
    <row r="258" spans="1:21" s="17" customFormat="1" ht="25.5">
      <c r="A258" s="14" t="s">
        <v>94</v>
      </c>
      <c r="B258" s="15" t="s">
        <v>9</v>
      </c>
      <c r="C258" s="15" t="s">
        <v>107</v>
      </c>
      <c r="D258" s="15" t="s">
        <v>10</v>
      </c>
      <c r="E258" s="15" t="s">
        <v>95</v>
      </c>
      <c r="F258" s="15" t="s">
        <v>0</v>
      </c>
      <c r="G258" s="52">
        <f t="shared" ref="G258:U258" si="286">G259+G261+G263+G272+G276</f>
        <v>12049335.99</v>
      </c>
      <c r="H258" s="52">
        <f t="shared" si="286"/>
        <v>20896333.239999998</v>
      </c>
      <c r="I258" s="52">
        <f t="shared" si="286"/>
        <v>32945669.23</v>
      </c>
      <c r="J258" s="52">
        <f t="shared" ref="J258:K258" si="287">J259+J261+J263+J272+J276</f>
        <v>1323748.9400000002</v>
      </c>
      <c r="K258" s="52">
        <f t="shared" si="287"/>
        <v>34269418.170000002</v>
      </c>
      <c r="L258" s="52">
        <f t="shared" ref="L258:M258" si="288">L259+L261+L263+L272+L276</f>
        <v>0</v>
      </c>
      <c r="M258" s="52">
        <f t="shared" si="288"/>
        <v>34269418.170000002</v>
      </c>
      <c r="N258" s="52">
        <f t="shared" si="286"/>
        <v>10238487</v>
      </c>
      <c r="O258" s="52">
        <f t="shared" si="286"/>
        <v>0</v>
      </c>
      <c r="P258" s="52">
        <f t="shared" si="286"/>
        <v>10238487</v>
      </c>
      <c r="Q258" s="52">
        <f t="shared" ref="Q258:R258" si="289">Q259+Q261+Q263+Q272+Q276</f>
        <v>0</v>
      </c>
      <c r="R258" s="52">
        <f t="shared" si="289"/>
        <v>10238487</v>
      </c>
      <c r="S258" s="52">
        <f t="shared" si="286"/>
        <v>10238487</v>
      </c>
      <c r="T258" s="52">
        <f t="shared" si="286"/>
        <v>0</v>
      </c>
      <c r="U258" s="52">
        <f t="shared" si="286"/>
        <v>10238487</v>
      </c>
    </row>
    <row r="259" spans="1:21" s="17" customFormat="1" ht="27" hidden="1" outlineLevel="1">
      <c r="A259" s="18" t="s">
        <v>109</v>
      </c>
      <c r="B259" s="19" t="s">
        <v>9</v>
      </c>
      <c r="C259" s="19" t="s">
        <v>107</v>
      </c>
      <c r="D259" s="19" t="s">
        <v>10</v>
      </c>
      <c r="E259" s="19" t="s">
        <v>237</v>
      </c>
      <c r="F259" s="19" t="s">
        <v>0</v>
      </c>
      <c r="G259" s="33">
        <f t="shared" ref="G259:U261" si="290">G260</f>
        <v>0</v>
      </c>
      <c r="H259" s="33">
        <f t="shared" si="290"/>
        <v>0</v>
      </c>
      <c r="I259" s="33">
        <f t="shared" si="290"/>
        <v>0</v>
      </c>
      <c r="J259" s="33">
        <f t="shared" si="290"/>
        <v>0</v>
      </c>
      <c r="K259" s="33">
        <f t="shared" si="290"/>
        <v>0</v>
      </c>
      <c r="L259" s="33">
        <f t="shared" si="290"/>
        <v>0</v>
      </c>
      <c r="M259" s="33">
        <f t="shared" si="290"/>
        <v>0</v>
      </c>
      <c r="N259" s="33">
        <f t="shared" si="290"/>
        <v>0</v>
      </c>
      <c r="O259" s="33">
        <f t="shared" si="290"/>
        <v>0</v>
      </c>
      <c r="P259" s="33">
        <f t="shared" si="290"/>
        <v>0</v>
      </c>
      <c r="Q259" s="33">
        <f t="shared" si="290"/>
        <v>0</v>
      </c>
      <c r="R259" s="33">
        <f t="shared" si="290"/>
        <v>0</v>
      </c>
      <c r="S259" s="33">
        <f t="shared" si="290"/>
        <v>0</v>
      </c>
      <c r="T259" s="33">
        <f t="shared" si="290"/>
        <v>0</v>
      </c>
      <c r="U259" s="33">
        <f t="shared" si="290"/>
        <v>0</v>
      </c>
    </row>
    <row r="260" spans="1:21" s="17" customFormat="1" hidden="1" outlineLevel="1">
      <c r="A260" s="21" t="s">
        <v>38</v>
      </c>
      <c r="B260" s="22" t="s">
        <v>9</v>
      </c>
      <c r="C260" s="22" t="s">
        <v>107</v>
      </c>
      <c r="D260" s="22" t="s">
        <v>10</v>
      </c>
      <c r="E260" s="22" t="s">
        <v>237</v>
      </c>
      <c r="F260" s="22" t="s">
        <v>39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</row>
    <row r="261" spans="1:21" s="17" customFormat="1" ht="27" hidden="1" outlineLevel="1">
      <c r="A261" s="18" t="s">
        <v>246</v>
      </c>
      <c r="B261" s="19" t="s">
        <v>9</v>
      </c>
      <c r="C261" s="19" t="s">
        <v>107</v>
      </c>
      <c r="D261" s="19" t="s">
        <v>10</v>
      </c>
      <c r="E261" s="19" t="s">
        <v>245</v>
      </c>
      <c r="F261" s="19" t="s">
        <v>0</v>
      </c>
      <c r="G261" s="33">
        <f t="shared" ref="G261:M261" si="291">G262</f>
        <v>0</v>
      </c>
      <c r="H261" s="33">
        <f t="shared" si="291"/>
        <v>0</v>
      </c>
      <c r="I261" s="33">
        <f t="shared" si="291"/>
        <v>0</v>
      </c>
      <c r="J261" s="33">
        <f t="shared" si="291"/>
        <v>0</v>
      </c>
      <c r="K261" s="33">
        <f t="shared" si="291"/>
        <v>0</v>
      </c>
      <c r="L261" s="33">
        <f t="shared" si="291"/>
        <v>0</v>
      </c>
      <c r="M261" s="33">
        <f t="shared" si="291"/>
        <v>0</v>
      </c>
      <c r="N261" s="33">
        <f t="shared" si="290"/>
        <v>0</v>
      </c>
      <c r="O261" s="33">
        <f t="shared" si="290"/>
        <v>0</v>
      </c>
      <c r="P261" s="33">
        <f t="shared" si="290"/>
        <v>0</v>
      </c>
      <c r="Q261" s="33">
        <f t="shared" si="290"/>
        <v>0</v>
      </c>
      <c r="R261" s="33">
        <f t="shared" si="290"/>
        <v>0</v>
      </c>
      <c r="S261" s="33">
        <f t="shared" si="290"/>
        <v>0</v>
      </c>
      <c r="T261" s="33">
        <f t="shared" si="290"/>
        <v>0</v>
      </c>
      <c r="U261" s="33">
        <f t="shared" si="290"/>
        <v>0</v>
      </c>
    </row>
    <row r="262" spans="1:21" s="17" customFormat="1" hidden="1" outlineLevel="1">
      <c r="A262" s="21" t="s">
        <v>38</v>
      </c>
      <c r="B262" s="22" t="s">
        <v>9</v>
      </c>
      <c r="C262" s="22" t="s">
        <v>107</v>
      </c>
      <c r="D262" s="22" t="s">
        <v>10</v>
      </c>
      <c r="E262" s="22" t="s">
        <v>245</v>
      </c>
      <c r="F262" s="22" t="s">
        <v>39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</row>
    <row r="263" spans="1:21" s="17" customFormat="1" collapsed="1">
      <c r="A263" s="14" t="s">
        <v>111</v>
      </c>
      <c r="B263" s="15" t="s">
        <v>9</v>
      </c>
      <c r="C263" s="15" t="s">
        <v>107</v>
      </c>
      <c r="D263" s="15" t="s">
        <v>10</v>
      </c>
      <c r="E263" s="15" t="s">
        <v>112</v>
      </c>
      <c r="F263" s="15" t="s">
        <v>0</v>
      </c>
      <c r="G263" s="52">
        <f t="shared" ref="G263:U263" si="292">G264+G266+G269</f>
        <v>7410356.1100000003</v>
      </c>
      <c r="H263" s="52">
        <f t="shared" si="292"/>
        <v>19916288.07</v>
      </c>
      <c r="I263" s="52">
        <f t="shared" si="292"/>
        <v>27326644.18</v>
      </c>
      <c r="J263" s="52">
        <f t="shared" ref="J263:K263" si="293">J264+J266+J269</f>
        <v>1360309.1</v>
      </c>
      <c r="K263" s="52">
        <f t="shared" si="293"/>
        <v>28686953.280000001</v>
      </c>
      <c r="L263" s="52">
        <f t="shared" ref="L263:M263" si="294">L264+L266+L269</f>
        <v>0</v>
      </c>
      <c r="M263" s="52">
        <f t="shared" si="294"/>
        <v>28686953.280000001</v>
      </c>
      <c r="N263" s="52">
        <f t="shared" si="292"/>
        <v>6506604</v>
      </c>
      <c r="O263" s="52">
        <f t="shared" si="292"/>
        <v>0</v>
      </c>
      <c r="P263" s="52">
        <f t="shared" si="292"/>
        <v>6506604</v>
      </c>
      <c r="Q263" s="52">
        <f t="shared" ref="Q263:R263" si="295">Q264+Q266+Q269</f>
        <v>0</v>
      </c>
      <c r="R263" s="52">
        <f t="shared" si="295"/>
        <v>6506604</v>
      </c>
      <c r="S263" s="52">
        <f t="shared" si="292"/>
        <v>6506604</v>
      </c>
      <c r="T263" s="52">
        <f t="shared" si="292"/>
        <v>0</v>
      </c>
      <c r="U263" s="52">
        <f t="shared" si="292"/>
        <v>6506604</v>
      </c>
    </row>
    <row r="264" spans="1:21" s="17" customFormat="1" ht="27">
      <c r="A264" s="18" t="s">
        <v>138</v>
      </c>
      <c r="B264" s="19" t="s">
        <v>9</v>
      </c>
      <c r="C264" s="19" t="s">
        <v>107</v>
      </c>
      <c r="D264" s="19" t="s">
        <v>10</v>
      </c>
      <c r="E264" s="19" t="s">
        <v>139</v>
      </c>
      <c r="F264" s="19" t="s">
        <v>0</v>
      </c>
      <c r="G264" s="33">
        <f t="shared" ref="G264:U264" si="296">G265</f>
        <v>7410356.1100000003</v>
      </c>
      <c r="H264" s="33">
        <f t="shared" si="296"/>
        <v>0</v>
      </c>
      <c r="I264" s="33">
        <f t="shared" si="296"/>
        <v>7410356.1100000003</v>
      </c>
      <c r="J264" s="33">
        <f t="shared" si="296"/>
        <v>1360309.1</v>
      </c>
      <c r="K264" s="33">
        <f t="shared" si="296"/>
        <v>8770665.2100000009</v>
      </c>
      <c r="L264" s="33">
        <f t="shared" si="296"/>
        <v>0</v>
      </c>
      <c r="M264" s="33">
        <f t="shared" si="296"/>
        <v>8770665.2100000009</v>
      </c>
      <c r="N264" s="33">
        <f t="shared" si="296"/>
        <v>6506604</v>
      </c>
      <c r="O264" s="33">
        <f t="shared" si="296"/>
        <v>0</v>
      </c>
      <c r="P264" s="33">
        <f t="shared" si="296"/>
        <v>6506604</v>
      </c>
      <c r="Q264" s="33">
        <f t="shared" si="296"/>
        <v>0</v>
      </c>
      <c r="R264" s="33">
        <f t="shared" si="296"/>
        <v>6506604</v>
      </c>
      <c r="S264" s="33">
        <f t="shared" si="296"/>
        <v>6506604</v>
      </c>
      <c r="T264" s="33">
        <f t="shared" si="296"/>
        <v>0</v>
      </c>
      <c r="U264" s="33">
        <f t="shared" si="296"/>
        <v>6506604</v>
      </c>
    </row>
    <row r="265" spans="1:21" s="17" customFormat="1">
      <c r="A265" s="21" t="s">
        <v>21</v>
      </c>
      <c r="B265" s="22" t="s">
        <v>9</v>
      </c>
      <c r="C265" s="22" t="s">
        <v>107</v>
      </c>
      <c r="D265" s="22" t="s">
        <v>10</v>
      </c>
      <c r="E265" s="22" t="s">
        <v>139</v>
      </c>
      <c r="F265" s="22" t="s">
        <v>22</v>
      </c>
      <c r="G265" s="46">
        <v>7410356.1100000003</v>
      </c>
      <c r="H265" s="46">
        <v>0</v>
      </c>
      <c r="I265" s="46">
        <f>G265+H265</f>
        <v>7410356.1100000003</v>
      </c>
      <c r="J265" s="46">
        <f>1978379.35-618070.25</f>
        <v>1360309.1</v>
      </c>
      <c r="K265" s="46">
        <f>I265+J265</f>
        <v>8770665.2100000009</v>
      </c>
      <c r="L265" s="46">
        <v>0</v>
      </c>
      <c r="M265" s="46">
        <f>K265+L265</f>
        <v>8770665.2100000009</v>
      </c>
      <c r="N265" s="46">
        <v>6506604</v>
      </c>
      <c r="O265" s="46">
        <v>0</v>
      </c>
      <c r="P265" s="46">
        <f>N265+O265</f>
        <v>6506604</v>
      </c>
      <c r="Q265" s="46">
        <v>0</v>
      </c>
      <c r="R265" s="46">
        <f>P265+Q265</f>
        <v>6506604</v>
      </c>
      <c r="S265" s="46">
        <v>6506604</v>
      </c>
      <c r="T265" s="46">
        <v>0</v>
      </c>
      <c r="U265" s="46">
        <f>S265+T265</f>
        <v>6506604</v>
      </c>
    </row>
    <row r="266" spans="1:21" s="17" customFormat="1" ht="13.5" outlineLevel="1">
      <c r="A266" s="18" t="s">
        <v>236</v>
      </c>
      <c r="B266" s="19" t="s">
        <v>9</v>
      </c>
      <c r="C266" s="19" t="s">
        <v>107</v>
      </c>
      <c r="D266" s="19" t="s">
        <v>10</v>
      </c>
      <c r="E266" s="19" t="s">
        <v>235</v>
      </c>
      <c r="F266" s="19" t="s">
        <v>0</v>
      </c>
      <c r="G266" s="33">
        <f t="shared" ref="G266:U266" si="297">G267+G268</f>
        <v>0</v>
      </c>
      <c r="H266" s="33">
        <f t="shared" si="297"/>
        <v>19916288.07</v>
      </c>
      <c r="I266" s="33">
        <f t="shared" si="297"/>
        <v>19916288.07</v>
      </c>
      <c r="J266" s="33">
        <f t="shared" ref="J266:K266" si="298">J267+J268</f>
        <v>0</v>
      </c>
      <c r="K266" s="33">
        <f t="shared" si="298"/>
        <v>19916288.07</v>
      </c>
      <c r="L266" s="33">
        <f t="shared" ref="L266:M266" si="299">L267+L268</f>
        <v>0</v>
      </c>
      <c r="M266" s="33">
        <f t="shared" si="299"/>
        <v>19916288.07</v>
      </c>
      <c r="N266" s="33">
        <f t="shared" si="297"/>
        <v>0</v>
      </c>
      <c r="O266" s="33">
        <f t="shared" si="297"/>
        <v>0</v>
      </c>
      <c r="P266" s="33">
        <f t="shared" si="297"/>
        <v>0</v>
      </c>
      <c r="Q266" s="33">
        <f t="shared" ref="Q266:R266" si="300">Q267+Q268</f>
        <v>0</v>
      </c>
      <c r="R266" s="33">
        <f t="shared" si="300"/>
        <v>0</v>
      </c>
      <c r="S266" s="33">
        <f t="shared" si="297"/>
        <v>0</v>
      </c>
      <c r="T266" s="33">
        <f t="shared" si="297"/>
        <v>0</v>
      </c>
      <c r="U266" s="33">
        <f t="shared" si="297"/>
        <v>0</v>
      </c>
    </row>
    <row r="267" spans="1:21" s="17" customFormat="1" outlineLevel="1">
      <c r="A267" s="21" t="s">
        <v>21</v>
      </c>
      <c r="B267" s="22" t="s">
        <v>9</v>
      </c>
      <c r="C267" s="22" t="s">
        <v>107</v>
      </c>
      <c r="D267" s="22" t="s">
        <v>10</v>
      </c>
      <c r="E267" s="22" t="s">
        <v>235</v>
      </c>
      <c r="F267" s="22" t="s">
        <v>22</v>
      </c>
      <c r="G267" s="46">
        <v>0</v>
      </c>
      <c r="H267" s="46">
        <f>5333077.2+14583210.87</f>
        <v>19916288.07</v>
      </c>
      <c r="I267" s="46">
        <f>G267+H267</f>
        <v>19916288.07</v>
      </c>
      <c r="J267" s="46">
        <v>0</v>
      </c>
      <c r="K267" s="46">
        <f>I267+J267</f>
        <v>19916288.07</v>
      </c>
      <c r="L267" s="46">
        <v>0</v>
      </c>
      <c r="M267" s="46">
        <f>K267+L267</f>
        <v>19916288.07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</row>
    <row r="268" spans="1:21" s="17" customFormat="1" outlineLevel="1">
      <c r="A268" s="21" t="s">
        <v>38</v>
      </c>
      <c r="B268" s="22" t="s">
        <v>9</v>
      </c>
      <c r="C268" s="22" t="s">
        <v>107</v>
      </c>
      <c r="D268" s="22" t="s">
        <v>10</v>
      </c>
      <c r="E268" s="22" t="s">
        <v>235</v>
      </c>
      <c r="F268" s="22" t="s">
        <v>39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</row>
    <row r="269" spans="1:21" s="17" customFormat="1" ht="13.5" outlineLevel="1">
      <c r="A269" s="18" t="s">
        <v>113</v>
      </c>
      <c r="B269" s="19" t="s">
        <v>9</v>
      </c>
      <c r="C269" s="19" t="s">
        <v>107</v>
      </c>
      <c r="D269" s="19" t="s">
        <v>10</v>
      </c>
      <c r="E269" s="19" t="s">
        <v>114</v>
      </c>
      <c r="F269" s="19" t="s">
        <v>0</v>
      </c>
      <c r="G269" s="33">
        <f t="shared" ref="G269:U269" si="301">G270+G271</f>
        <v>0</v>
      </c>
      <c r="H269" s="33">
        <f t="shared" si="301"/>
        <v>0</v>
      </c>
      <c r="I269" s="33">
        <f t="shared" si="301"/>
        <v>0</v>
      </c>
      <c r="J269" s="33">
        <f t="shared" ref="J269:K269" si="302">J270+J271</f>
        <v>0</v>
      </c>
      <c r="K269" s="33">
        <f t="shared" si="302"/>
        <v>0</v>
      </c>
      <c r="L269" s="33">
        <f t="shared" ref="L269:M269" si="303">L270+L271</f>
        <v>0</v>
      </c>
      <c r="M269" s="33">
        <f t="shared" si="303"/>
        <v>0</v>
      </c>
      <c r="N269" s="33">
        <f t="shared" si="301"/>
        <v>0</v>
      </c>
      <c r="O269" s="33">
        <f t="shared" si="301"/>
        <v>0</v>
      </c>
      <c r="P269" s="33">
        <f t="shared" si="301"/>
        <v>0</v>
      </c>
      <c r="Q269" s="33">
        <f t="shared" ref="Q269:R269" si="304">Q270+Q271</f>
        <v>0</v>
      </c>
      <c r="R269" s="33">
        <f t="shared" si="304"/>
        <v>0</v>
      </c>
      <c r="S269" s="33">
        <f t="shared" si="301"/>
        <v>0</v>
      </c>
      <c r="T269" s="33">
        <f t="shared" si="301"/>
        <v>0</v>
      </c>
      <c r="U269" s="33">
        <f t="shared" si="301"/>
        <v>0</v>
      </c>
    </row>
    <row r="270" spans="1:21" s="17" customFormat="1" outlineLevel="1">
      <c r="A270" s="21" t="s">
        <v>21</v>
      </c>
      <c r="B270" s="22" t="s">
        <v>9</v>
      </c>
      <c r="C270" s="22" t="s">
        <v>107</v>
      </c>
      <c r="D270" s="22" t="s">
        <v>10</v>
      </c>
      <c r="E270" s="22" t="s">
        <v>114</v>
      </c>
      <c r="F270" s="22" t="s">
        <v>22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</row>
    <row r="271" spans="1:21" s="17" customFormat="1" outlineLevel="1">
      <c r="A271" s="21" t="s">
        <v>38</v>
      </c>
      <c r="B271" s="22" t="s">
        <v>9</v>
      </c>
      <c r="C271" s="22" t="s">
        <v>107</v>
      </c>
      <c r="D271" s="22" t="s">
        <v>10</v>
      </c>
      <c r="E271" s="22" t="s">
        <v>114</v>
      </c>
      <c r="F271" s="22" t="s">
        <v>39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</row>
    <row r="272" spans="1:21" s="17" customFormat="1" ht="13.5" customHeight="1">
      <c r="A272" s="14" t="s">
        <v>180</v>
      </c>
      <c r="B272" s="15" t="s">
        <v>9</v>
      </c>
      <c r="C272" s="15" t="s">
        <v>107</v>
      </c>
      <c r="D272" s="15" t="s">
        <v>10</v>
      </c>
      <c r="E272" s="15" t="s">
        <v>181</v>
      </c>
      <c r="F272" s="15" t="s">
        <v>0</v>
      </c>
      <c r="G272" s="52">
        <f t="shared" ref="G272:U272" si="305">G273</f>
        <v>3616533.98</v>
      </c>
      <c r="H272" s="52">
        <f t="shared" si="305"/>
        <v>-895833.98</v>
      </c>
      <c r="I272" s="52">
        <f t="shared" si="305"/>
        <v>2720700</v>
      </c>
      <c r="J272" s="52">
        <f t="shared" si="305"/>
        <v>-36060.160000000003</v>
      </c>
      <c r="K272" s="52">
        <f t="shared" si="305"/>
        <v>2684639.84</v>
      </c>
      <c r="L272" s="52">
        <f t="shared" si="305"/>
        <v>0</v>
      </c>
      <c r="M272" s="52">
        <f t="shared" si="305"/>
        <v>2684639.84</v>
      </c>
      <c r="N272" s="52">
        <f t="shared" si="305"/>
        <v>3302321</v>
      </c>
      <c r="O272" s="52">
        <f t="shared" si="305"/>
        <v>0</v>
      </c>
      <c r="P272" s="52">
        <f t="shared" si="305"/>
        <v>3302321</v>
      </c>
      <c r="Q272" s="52">
        <f t="shared" si="305"/>
        <v>0</v>
      </c>
      <c r="R272" s="52">
        <f t="shared" si="305"/>
        <v>3302321</v>
      </c>
      <c r="S272" s="52">
        <f t="shared" si="305"/>
        <v>3302321</v>
      </c>
      <c r="T272" s="52">
        <f t="shared" si="305"/>
        <v>0</v>
      </c>
      <c r="U272" s="52">
        <f t="shared" si="305"/>
        <v>3302321</v>
      </c>
    </row>
    <row r="273" spans="1:21" s="17" customFormat="1" ht="13.5">
      <c r="A273" s="18" t="s">
        <v>182</v>
      </c>
      <c r="B273" s="19" t="s">
        <v>9</v>
      </c>
      <c r="C273" s="19" t="s">
        <v>107</v>
      </c>
      <c r="D273" s="19" t="s">
        <v>10</v>
      </c>
      <c r="E273" s="19" t="s">
        <v>183</v>
      </c>
      <c r="F273" s="19" t="s">
        <v>0</v>
      </c>
      <c r="G273" s="33">
        <f t="shared" ref="G273:U273" si="306">G274+G275</f>
        <v>3616533.98</v>
      </c>
      <c r="H273" s="33">
        <f t="shared" si="306"/>
        <v>-895833.98</v>
      </c>
      <c r="I273" s="33">
        <f t="shared" si="306"/>
        <v>2720700</v>
      </c>
      <c r="J273" s="33">
        <f t="shared" ref="J273:K273" si="307">J274+J275</f>
        <v>-36060.160000000003</v>
      </c>
      <c r="K273" s="33">
        <f t="shared" si="307"/>
        <v>2684639.84</v>
      </c>
      <c r="L273" s="33">
        <f t="shared" ref="L273:M273" si="308">L274+L275</f>
        <v>0</v>
      </c>
      <c r="M273" s="33">
        <f t="shared" si="308"/>
        <v>2684639.84</v>
      </c>
      <c r="N273" s="33">
        <f t="shared" si="306"/>
        <v>3302321</v>
      </c>
      <c r="O273" s="33">
        <f t="shared" si="306"/>
        <v>0</v>
      </c>
      <c r="P273" s="33">
        <f t="shared" si="306"/>
        <v>3302321</v>
      </c>
      <c r="Q273" s="33">
        <f t="shared" ref="Q273:R273" si="309">Q274+Q275</f>
        <v>0</v>
      </c>
      <c r="R273" s="33">
        <f t="shared" si="309"/>
        <v>3302321</v>
      </c>
      <c r="S273" s="33">
        <f t="shared" si="306"/>
        <v>3302321</v>
      </c>
      <c r="T273" s="33">
        <f t="shared" si="306"/>
        <v>0</v>
      </c>
      <c r="U273" s="33">
        <f t="shared" si="306"/>
        <v>3302321</v>
      </c>
    </row>
    <row r="274" spans="1:21" s="17" customFormat="1">
      <c r="A274" s="21" t="s">
        <v>21</v>
      </c>
      <c r="B274" s="22" t="s">
        <v>9</v>
      </c>
      <c r="C274" s="22" t="s">
        <v>107</v>
      </c>
      <c r="D274" s="22" t="s">
        <v>10</v>
      </c>
      <c r="E274" s="22" t="s">
        <v>183</v>
      </c>
      <c r="F274" s="22" t="s">
        <v>22</v>
      </c>
      <c r="G274" s="46">
        <v>2720700</v>
      </c>
      <c r="H274" s="46">
        <v>0</v>
      </c>
      <c r="I274" s="46">
        <f>G274+H274</f>
        <v>2720700</v>
      </c>
      <c r="J274" s="46">
        <v>-36060.160000000003</v>
      </c>
      <c r="K274" s="46">
        <f>I274+J274</f>
        <v>2684639.84</v>
      </c>
      <c r="L274" s="46">
        <v>0</v>
      </c>
      <c r="M274" s="46">
        <f>K274+L274</f>
        <v>2684639.84</v>
      </c>
      <c r="N274" s="46">
        <v>2802321</v>
      </c>
      <c r="O274" s="46">
        <v>0</v>
      </c>
      <c r="P274" s="46">
        <f>N274+O274</f>
        <v>2802321</v>
      </c>
      <c r="Q274" s="46">
        <v>0</v>
      </c>
      <c r="R274" s="46">
        <f>P274+Q274</f>
        <v>2802321</v>
      </c>
      <c r="S274" s="46">
        <v>2802321</v>
      </c>
      <c r="T274" s="46">
        <v>0</v>
      </c>
      <c r="U274" s="46">
        <f>S274+T274</f>
        <v>2802321</v>
      </c>
    </row>
    <row r="275" spans="1:21" s="17" customFormat="1">
      <c r="A275" s="21" t="s">
        <v>40</v>
      </c>
      <c r="B275" s="22" t="s">
        <v>9</v>
      </c>
      <c r="C275" s="22" t="s">
        <v>107</v>
      </c>
      <c r="D275" s="22" t="s">
        <v>10</v>
      </c>
      <c r="E275" s="22" t="s">
        <v>183</v>
      </c>
      <c r="F275" s="22" t="s">
        <v>41</v>
      </c>
      <c r="G275" s="46">
        <v>895833.98</v>
      </c>
      <c r="H275" s="46">
        <f>-395833.98-500000</f>
        <v>-895833.98</v>
      </c>
      <c r="I275" s="46">
        <f>G275+H275</f>
        <v>0</v>
      </c>
      <c r="J275" s="46">
        <v>0</v>
      </c>
      <c r="K275" s="46">
        <f>I275+J275</f>
        <v>0</v>
      </c>
      <c r="L275" s="46">
        <v>0</v>
      </c>
      <c r="M275" s="46">
        <f>K275+L275</f>
        <v>0</v>
      </c>
      <c r="N275" s="46">
        <v>500000</v>
      </c>
      <c r="O275" s="46">
        <v>0</v>
      </c>
      <c r="P275" s="46">
        <f>N275+O275</f>
        <v>500000</v>
      </c>
      <c r="Q275" s="46">
        <v>0</v>
      </c>
      <c r="R275" s="46">
        <f>P275+Q275</f>
        <v>500000</v>
      </c>
      <c r="S275" s="46">
        <v>500000</v>
      </c>
      <c r="T275" s="46">
        <v>0</v>
      </c>
      <c r="U275" s="46">
        <f>S275+T275</f>
        <v>500000</v>
      </c>
    </row>
    <row r="276" spans="1:21" s="17" customFormat="1" ht="25.5">
      <c r="A276" s="14" t="s">
        <v>184</v>
      </c>
      <c r="B276" s="15" t="s">
        <v>9</v>
      </c>
      <c r="C276" s="15" t="s">
        <v>107</v>
      </c>
      <c r="D276" s="15" t="s">
        <v>10</v>
      </c>
      <c r="E276" s="15" t="s">
        <v>185</v>
      </c>
      <c r="F276" s="15" t="s">
        <v>0</v>
      </c>
      <c r="G276" s="52">
        <f t="shared" ref="G276:U277" si="310">G277</f>
        <v>1022445.9</v>
      </c>
      <c r="H276" s="52">
        <f t="shared" si="310"/>
        <v>1875879.15</v>
      </c>
      <c r="I276" s="52">
        <f t="shared" si="310"/>
        <v>2898325.05</v>
      </c>
      <c r="J276" s="52">
        <f t="shared" si="310"/>
        <v>-500</v>
      </c>
      <c r="K276" s="52">
        <f t="shared" si="310"/>
        <v>2897825.05</v>
      </c>
      <c r="L276" s="52">
        <f t="shared" si="310"/>
        <v>0</v>
      </c>
      <c r="M276" s="52">
        <f t="shared" si="310"/>
        <v>2897825.05</v>
      </c>
      <c r="N276" s="52">
        <f t="shared" si="310"/>
        <v>429562</v>
      </c>
      <c r="O276" s="52">
        <f t="shared" si="310"/>
        <v>0</v>
      </c>
      <c r="P276" s="52">
        <f t="shared" si="310"/>
        <v>429562</v>
      </c>
      <c r="Q276" s="52">
        <f t="shared" si="310"/>
        <v>0</v>
      </c>
      <c r="R276" s="52">
        <f t="shared" si="310"/>
        <v>429562</v>
      </c>
      <c r="S276" s="52">
        <f t="shared" si="310"/>
        <v>429562</v>
      </c>
      <c r="T276" s="52">
        <f t="shared" si="310"/>
        <v>0</v>
      </c>
      <c r="U276" s="52">
        <f t="shared" si="310"/>
        <v>429562</v>
      </c>
    </row>
    <row r="277" spans="1:21" s="17" customFormat="1" ht="27.75" customHeight="1">
      <c r="A277" s="18" t="s">
        <v>186</v>
      </c>
      <c r="B277" s="19" t="s">
        <v>9</v>
      </c>
      <c r="C277" s="19" t="s">
        <v>107</v>
      </c>
      <c r="D277" s="19" t="s">
        <v>10</v>
      </c>
      <c r="E277" s="19" t="s">
        <v>187</v>
      </c>
      <c r="F277" s="19" t="s">
        <v>0</v>
      </c>
      <c r="G277" s="33">
        <f t="shared" si="310"/>
        <v>1022445.9</v>
      </c>
      <c r="H277" s="33">
        <f t="shared" si="310"/>
        <v>1875879.15</v>
      </c>
      <c r="I277" s="33">
        <f t="shared" si="310"/>
        <v>2898325.05</v>
      </c>
      <c r="J277" s="33">
        <f t="shared" si="310"/>
        <v>-500</v>
      </c>
      <c r="K277" s="33">
        <f t="shared" si="310"/>
        <v>2897825.05</v>
      </c>
      <c r="L277" s="33">
        <f t="shared" si="310"/>
        <v>0</v>
      </c>
      <c r="M277" s="33">
        <f t="shared" si="310"/>
        <v>2897825.05</v>
      </c>
      <c r="N277" s="33">
        <f t="shared" si="310"/>
        <v>429562</v>
      </c>
      <c r="O277" s="33">
        <f t="shared" si="310"/>
        <v>0</v>
      </c>
      <c r="P277" s="33">
        <f t="shared" si="310"/>
        <v>429562</v>
      </c>
      <c r="Q277" s="33">
        <f t="shared" si="310"/>
        <v>0</v>
      </c>
      <c r="R277" s="33">
        <f t="shared" si="310"/>
        <v>429562</v>
      </c>
      <c r="S277" s="33">
        <f t="shared" si="310"/>
        <v>429562</v>
      </c>
      <c r="T277" s="33">
        <f t="shared" si="310"/>
        <v>0</v>
      </c>
      <c r="U277" s="33">
        <f t="shared" si="310"/>
        <v>429562</v>
      </c>
    </row>
    <row r="278" spans="1:21" s="17" customFormat="1">
      <c r="A278" s="21" t="s">
        <v>21</v>
      </c>
      <c r="B278" s="22" t="s">
        <v>9</v>
      </c>
      <c r="C278" s="22" t="s">
        <v>107</v>
      </c>
      <c r="D278" s="22" t="s">
        <v>10</v>
      </c>
      <c r="E278" s="22" t="s">
        <v>187</v>
      </c>
      <c r="F278" s="22" t="s">
        <v>22</v>
      </c>
      <c r="G278" s="46">
        <v>1022445.9</v>
      </c>
      <c r="H278" s="46">
        <v>1875879.15</v>
      </c>
      <c r="I278" s="46">
        <f>G278+H278</f>
        <v>2898325.05</v>
      </c>
      <c r="J278" s="46">
        <v>-500</v>
      </c>
      <c r="K278" s="46">
        <f>I278+J278</f>
        <v>2897825.05</v>
      </c>
      <c r="L278" s="46">
        <v>0</v>
      </c>
      <c r="M278" s="46">
        <f>K278+L278</f>
        <v>2897825.05</v>
      </c>
      <c r="N278" s="46">
        <v>429562</v>
      </c>
      <c r="O278" s="46">
        <v>0</v>
      </c>
      <c r="P278" s="46">
        <f>N278+O278</f>
        <v>429562</v>
      </c>
      <c r="Q278" s="46">
        <v>0</v>
      </c>
      <c r="R278" s="46">
        <f>P278+Q278</f>
        <v>429562</v>
      </c>
      <c r="S278" s="46">
        <v>429562</v>
      </c>
      <c r="T278" s="46">
        <v>0</v>
      </c>
      <c r="U278" s="46">
        <f>S278+T278</f>
        <v>429562</v>
      </c>
    </row>
    <row r="279" spans="1:21" s="17" customFormat="1">
      <c r="A279" s="14" t="s">
        <v>188</v>
      </c>
      <c r="B279" s="15" t="s">
        <v>9</v>
      </c>
      <c r="C279" s="15" t="s">
        <v>107</v>
      </c>
      <c r="D279" s="15" t="s">
        <v>27</v>
      </c>
      <c r="E279" s="15" t="s">
        <v>0</v>
      </c>
      <c r="F279" s="15" t="s">
        <v>0</v>
      </c>
      <c r="G279" s="52">
        <f t="shared" ref="G279:U279" si="311">G280</f>
        <v>32192710.770000003</v>
      </c>
      <c r="H279" s="52">
        <f t="shared" si="311"/>
        <v>76128775.060000002</v>
      </c>
      <c r="I279" s="52">
        <f t="shared" si="311"/>
        <v>108321485.83000001</v>
      </c>
      <c r="J279" s="52">
        <f t="shared" si="311"/>
        <v>1075243.8000000003</v>
      </c>
      <c r="K279" s="52">
        <f t="shared" si="311"/>
        <v>109396729.63</v>
      </c>
      <c r="L279" s="52">
        <f t="shared" si="311"/>
        <v>4636623.54</v>
      </c>
      <c r="M279" s="52">
        <f t="shared" si="311"/>
        <v>114033353.16999999</v>
      </c>
      <c r="N279" s="52">
        <f t="shared" si="311"/>
        <v>3607971</v>
      </c>
      <c r="O279" s="52">
        <f t="shared" si="311"/>
        <v>0</v>
      </c>
      <c r="P279" s="52">
        <f t="shared" si="311"/>
        <v>3607971</v>
      </c>
      <c r="Q279" s="52">
        <f t="shared" si="311"/>
        <v>0</v>
      </c>
      <c r="R279" s="52">
        <f t="shared" si="311"/>
        <v>3607971</v>
      </c>
      <c r="S279" s="52">
        <f t="shared" si="311"/>
        <v>3607971</v>
      </c>
      <c r="T279" s="52">
        <f t="shared" si="311"/>
        <v>0</v>
      </c>
      <c r="U279" s="52">
        <f t="shared" si="311"/>
        <v>3607971</v>
      </c>
    </row>
    <row r="280" spans="1:21" s="17" customFormat="1" ht="36.75" customHeight="1">
      <c r="A280" s="14" t="s">
        <v>94</v>
      </c>
      <c r="B280" s="15" t="s">
        <v>9</v>
      </c>
      <c r="C280" s="15" t="s">
        <v>107</v>
      </c>
      <c r="D280" s="15" t="s">
        <v>27</v>
      </c>
      <c r="E280" s="15" t="s">
        <v>95</v>
      </c>
      <c r="F280" s="15" t="s">
        <v>0</v>
      </c>
      <c r="G280" s="52">
        <f t="shared" ref="G280:U280" si="312">G281+G293</f>
        <v>32192710.770000003</v>
      </c>
      <c r="H280" s="52">
        <f t="shared" si="312"/>
        <v>76128775.060000002</v>
      </c>
      <c r="I280" s="52">
        <f t="shared" si="312"/>
        <v>108321485.83000001</v>
      </c>
      <c r="J280" s="52">
        <f t="shared" ref="J280:K280" si="313">J281+J293</f>
        <v>1075243.8000000003</v>
      </c>
      <c r="K280" s="52">
        <f t="shared" si="313"/>
        <v>109396729.63</v>
      </c>
      <c r="L280" s="52">
        <f t="shared" ref="L280:M280" si="314">L281+L293</f>
        <v>4636623.54</v>
      </c>
      <c r="M280" s="52">
        <f t="shared" si="314"/>
        <v>114033353.16999999</v>
      </c>
      <c r="N280" s="52">
        <f t="shared" si="312"/>
        <v>3607971</v>
      </c>
      <c r="O280" s="52">
        <f t="shared" si="312"/>
        <v>0</v>
      </c>
      <c r="P280" s="52">
        <f t="shared" si="312"/>
        <v>3607971</v>
      </c>
      <c r="Q280" s="52">
        <f t="shared" ref="Q280:R280" si="315">Q281+Q293</f>
        <v>0</v>
      </c>
      <c r="R280" s="52">
        <f t="shared" si="315"/>
        <v>3607971</v>
      </c>
      <c r="S280" s="52">
        <f t="shared" si="312"/>
        <v>3607971</v>
      </c>
      <c r="T280" s="52">
        <f t="shared" si="312"/>
        <v>0</v>
      </c>
      <c r="U280" s="52">
        <f t="shared" si="312"/>
        <v>3607971</v>
      </c>
    </row>
    <row r="281" spans="1:21" s="17" customFormat="1" ht="25.5">
      <c r="A281" s="14" t="s">
        <v>96</v>
      </c>
      <c r="B281" s="15" t="s">
        <v>9</v>
      </c>
      <c r="C281" s="15" t="s">
        <v>107</v>
      </c>
      <c r="D281" s="15" t="s">
        <v>27</v>
      </c>
      <c r="E281" s="15" t="s">
        <v>97</v>
      </c>
      <c r="F281" s="15" t="s">
        <v>0</v>
      </c>
      <c r="G281" s="52">
        <f>G285+G287+G289+G291</f>
        <v>27382190.870000001</v>
      </c>
      <c r="H281" s="52">
        <f>H285+H287+H289+H291</f>
        <v>75367057.090000004</v>
      </c>
      <c r="I281" s="52">
        <f t="shared" ref="I281:U281" si="316">I285+I287+I289+I291</f>
        <v>102749247.96000001</v>
      </c>
      <c r="J281" s="52">
        <f>J285+J287+J289+J291</f>
        <v>-886752.9</v>
      </c>
      <c r="K281" s="52">
        <f t="shared" ref="K281" si="317">K285+K287+K289+K291</f>
        <v>101862495.05999999</v>
      </c>
      <c r="L281" s="52">
        <f>L285+L287+L289+L291</f>
        <v>0</v>
      </c>
      <c r="M281" s="52">
        <f t="shared" ref="M281" si="318">M285+M287+M289+M291</f>
        <v>101862495.05999999</v>
      </c>
      <c r="N281" s="52">
        <f t="shared" si="316"/>
        <v>0</v>
      </c>
      <c r="O281" s="52">
        <f t="shared" si="316"/>
        <v>0</v>
      </c>
      <c r="P281" s="52">
        <f t="shared" si="316"/>
        <v>0</v>
      </c>
      <c r="Q281" s="52">
        <f t="shared" ref="Q281:R281" si="319">Q285+Q287+Q289+Q291</f>
        <v>0</v>
      </c>
      <c r="R281" s="52">
        <f t="shared" si="319"/>
        <v>0</v>
      </c>
      <c r="S281" s="52">
        <f t="shared" si="316"/>
        <v>0</v>
      </c>
      <c r="T281" s="52">
        <f t="shared" si="316"/>
        <v>0</v>
      </c>
      <c r="U281" s="52">
        <f t="shared" si="316"/>
        <v>0</v>
      </c>
    </row>
    <row r="282" spans="1:21" s="17" customFormat="1" ht="27" hidden="1" outlineLevel="1">
      <c r="A282" s="18" t="s">
        <v>109</v>
      </c>
      <c r="B282" s="19" t="s">
        <v>9</v>
      </c>
      <c r="C282" s="19" t="s">
        <v>107</v>
      </c>
      <c r="D282" s="19" t="s">
        <v>27</v>
      </c>
      <c r="E282" s="19" t="s">
        <v>110</v>
      </c>
      <c r="F282" s="19" t="s">
        <v>0</v>
      </c>
      <c r="G282" s="33">
        <f t="shared" ref="G282:U282" si="320">G284+G283</f>
        <v>0</v>
      </c>
      <c r="H282" s="33">
        <f t="shared" si="320"/>
        <v>0</v>
      </c>
      <c r="I282" s="33">
        <f t="shared" si="320"/>
        <v>0</v>
      </c>
      <c r="J282" s="33">
        <f t="shared" ref="J282:K282" si="321">J284+J283</f>
        <v>0</v>
      </c>
      <c r="K282" s="33">
        <f t="shared" si="321"/>
        <v>0</v>
      </c>
      <c r="L282" s="33">
        <f t="shared" ref="L282:M282" si="322">L284+L283</f>
        <v>0</v>
      </c>
      <c r="M282" s="33">
        <f t="shared" si="322"/>
        <v>0</v>
      </c>
      <c r="N282" s="33">
        <f t="shared" si="320"/>
        <v>0</v>
      </c>
      <c r="O282" s="33">
        <f t="shared" si="320"/>
        <v>0</v>
      </c>
      <c r="P282" s="33">
        <f t="shared" si="320"/>
        <v>0</v>
      </c>
      <c r="Q282" s="33">
        <f t="shared" ref="Q282:R282" si="323">Q284+Q283</f>
        <v>0</v>
      </c>
      <c r="R282" s="33">
        <f t="shared" si="323"/>
        <v>0</v>
      </c>
      <c r="S282" s="33">
        <f t="shared" si="320"/>
        <v>0</v>
      </c>
      <c r="T282" s="33">
        <f t="shared" si="320"/>
        <v>0</v>
      </c>
      <c r="U282" s="33">
        <f t="shared" si="320"/>
        <v>0</v>
      </c>
    </row>
    <row r="283" spans="1:21" s="17" customFormat="1" hidden="1" outlineLevel="1">
      <c r="A283" s="21" t="s">
        <v>21</v>
      </c>
      <c r="B283" s="22" t="s">
        <v>9</v>
      </c>
      <c r="C283" s="22" t="s">
        <v>107</v>
      </c>
      <c r="D283" s="22" t="s">
        <v>27</v>
      </c>
      <c r="E283" s="22" t="s">
        <v>110</v>
      </c>
      <c r="F283" s="22">
        <v>200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</row>
    <row r="284" spans="1:21" s="17" customFormat="1" hidden="1" outlineLevel="1">
      <c r="A284" s="21" t="s">
        <v>38</v>
      </c>
      <c r="B284" s="22" t="s">
        <v>9</v>
      </c>
      <c r="C284" s="22" t="s">
        <v>107</v>
      </c>
      <c r="D284" s="22" t="s">
        <v>27</v>
      </c>
      <c r="E284" s="22" t="s">
        <v>110</v>
      </c>
      <c r="F284" s="22" t="s">
        <v>39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</row>
    <row r="285" spans="1:21" s="17" customFormat="1" ht="27.75" customHeight="1" collapsed="1">
      <c r="A285" s="93" t="s">
        <v>276</v>
      </c>
      <c r="B285" s="19" t="s">
        <v>9</v>
      </c>
      <c r="C285" s="19" t="s">
        <v>107</v>
      </c>
      <c r="D285" s="19" t="s">
        <v>27</v>
      </c>
      <c r="E285" s="19" t="s">
        <v>290</v>
      </c>
      <c r="F285" s="19" t="s">
        <v>0</v>
      </c>
      <c r="G285" s="33">
        <f t="shared" ref="G285:M285" si="324">G286</f>
        <v>21179593.690000001</v>
      </c>
      <c r="H285" s="33">
        <f t="shared" si="324"/>
        <v>0</v>
      </c>
      <c r="I285" s="33">
        <f t="shared" si="324"/>
        <v>21179593.690000001</v>
      </c>
      <c r="J285" s="33">
        <f t="shared" si="324"/>
        <v>0</v>
      </c>
      <c r="K285" s="33">
        <f t="shared" si="324"/>
        <v>21179593.690000001</v>
      </c>
      <c r="L285" s="33">
        <f t="shared" si="324"/>
        <v>0</v>
      </c>
      <c r="M285" s="33">
        <f t="shared" si="324"/>
        <v>21179593.690000001</v>
      </c>
      <c r="N285" s="33">
        <f t="shared" ref="N285:U285" si="325">N287+N286</f>
        <v>0</v>
      </c>
      <c r="O285" s="33">
        <f t="shared" si="325"/>
        <v>0</v>
      </c>
      <c r="P285" s="33">
        <f t="shared" si="325"/>
        <v>0</v>
      </c>
      <c r="Q285" s="33">
        <f t="shared" si="325"/>
        <v>0</v>
      </c>
      <c r="R285" s="33">
        <f t="shared" si="325"/>
        <v>0</v>
      </c>
      <c r="S285" s="33">
        <f t="shared" si="325"/>
        <v>0</v>
      </c>
      <c r="T285" s="33">
        <f t="shared" si="325"/>
        <v>0</v>
      </c>
      <c r="U285" s="33">
        <f t="shared" si="325"/>
        <v>0</v>
      </c>
    </row>
    <row r="286" spans="1:21" s="17" customFormat="1" ht="17.25" customHeight="1">
      <c r="A286" s="21" t="s">
        <v>21</v>
      </c>
      <c r="B286" s="22" t="s">
        <v>9</v>
      </c>
      <c r="C286" s="22" t="s">
        <v>107</v>
      </c>
      <c r="D286" s="22" t="s">
        <v>27</v>
      </c>
      <c r="E286" s="34" t="s">
        <v>290</v>
      </c>
      <c r="F286" s="22">
        <v>200</v>
      </c>
      <c r="G286" s="46">
        <v>21179593.690000001</v>
      </c>
      <c r="H286" s="46">
        <v>0</v>
      </c>
      <c r="I286" s="46">
        <f>G286+H286</f>
        <v>21179593.690000001</v>
      </c>
      <c r="J286" s="46">
        <v>0</v>
      </c>
      <c r="K286" s="46">
        <f>I286+J286</f>
        <v>21179593.690000001</v>
      </c>
      <c r="L286" s="46">
        <v>0</v>
      </c>
      <c r="M286" s="46">
        <f>K286+L286</f>
        <v>21179593.690000001</v>
      </c>
      <c r="N286" s="46">
        <v>0</v>
      </c>
      <c r="O286" s="46">
        <v>0</v>
      </c>
      <c r="P286" s="46">
        <f>N286+O286</f>
        <v>0</v>
      </c>
      <c r="Q286" s="46">
        <v>0</v>
      </c>
      <c r="R286" s="46">
        <f>P286+Q286</f>
        <v>0</v>
      </c>
      <c r="S286" s="46">
        <v>0</v>
      </c>
      <c r="T286" s="46">
        <v>0</v>
      </c>
      <c r="U286" s="46">
        <f>S286+T286</f>
        <v>0</v>
      </c>
    </row>
    <row r="287" spans="1:21" s="17" customFormat="1" ht="30" customHeight="1">
      <c r="A287" s="18" t="s">
        <v>286</v>
      </c>
      <c r="B287" s="19" t="s">
        <v>9</v>
      </c>
      <c r="C287" s="19" t="s">
        <v>107</v>
      </c>
      <c r="D287" s="19" t="s">
        <v>27</v>
      </c>
      <c r="E287" s="19" t="s">
        <v>289</v>
      </c>
      <c r="F287" s="19"/>
      <c r="G287" s="33">
        <f t="shared" ref="G287:M287" si="326">G288</f>
        <v>6202597.1799999997</v>
      </c>
      <c r="H287" s="33">
        <f t="shared" si="326"/>
        <v>47522015.409999996</v>
      </c>
      <c r="I287" s="33">
        <f t="shared" si="326"/>
        <v>53724612.589999996</v>
      </c>
      <c r="J287" s="33">
        <f t="shared" si="326"/>
        <v>-489484.38</v>
      </c>
      <c r="K287" s="33">
        <f t="shared" si="326"/>
        <v>53235128.209999993</v>
      </c>
      <c r="L287" s="33">
        <f t="shared" si="326"/>
        <v>0</v>
      </c>
      <c r="M287" s="33">
        <f t="shared" si="326"/>
        <v>53235128.209999993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</row>
    <row r="288" spans="1:21" s="17" customFormat="1" ht="15.75" customHeight="1">
      <c r="A288" s="21" t="s">
        <v>38</v>
      </c>
      <c r="B288" s="22" t="s">
        <v>9</v>
      </c>
      <c r="C288" s="22" t="s">
        <v>107</v>
      </c>
      <c r="D288" s="22" t="s">
        <v>27</v>
      </c>
      <c r="E288" s="92" t="s">
        <v>289</v>
      </c>
      <c r="F288" s="22">
        <v>400</v>
      </c>
      <c r="G288" s="46">
        <v>6202597.1799999997</v>
      </c>
      <c r="H288" s="80">
        <f>566456.58+929967.28+28000000-363582.5-838222.45-772603.5+20000000</f>
        <v>47522015.409999996</v>
      </c>
      <c r="I288" s="46">
        <f>G288+H288</f>
        <v>53724612.589999996</v>
      </c>
      <c r="J288" s="80">
        <f>-264666.69-224817.69</f>
        <v>-489484.38</v>
      </c>
      <c r="K288" s="46">
        <f>I288+J288</f>
        <v>53235128.209999993</v>
      </c>
      <c r="L288" s="80">
        <v>0</v>
      </c>
      <c r="M288" s="46">
        <f>K288+L288</f>
        <v>53235128.209999993</v>
      </c>
      <c r="N288" s="46">
        <v>0</v>
      </c>
      <c r="O288" s="46">
        <v>0</v>
      </c>
      <c r="P288" s="46">
        <f>N288+O288</f>
        <v>0</v>
      </c>
      <c r="Q288" s="46">
        <v>0</v>
      </c>
      <c r="R288" s="46">
        <f>P288+Q288</f>
        <v>0</v>
      </c>
      <c r="S288" s="46">
        <v>0</v>
      </c>
      <c r="T288" s="46">
        <v>0</v>
      </c>
      <c r="U288" s="46">
        <f>S288+T288</f>
        <v>0</v>
      </c>
    </row>
    <row r="289" spans="1:21" s="17" customFormat="1" ht="32.25" customHeight="1">
      <c r="A289" s="42" t="s">
        <v>246</v>
      </c>
      <c r="B289" s="19" t="s">
        <v>9</v>
      </c>
      <c r="C289" s="19" t="s">
        <v>107</v>
      </c>
      <c r="D289" s="19" t="s">
        <v>27</v>
      </c>
      <c r="E289" s="19" t="s">
        <v>287</v>
      </c>
      <c r="F289" s="94"/>
      <c r="G289" s="33">
        <f t="shared" ref="G289:N289" si="327">G290</f>
        <v>0</v>
      </c>
      <c r="H289" s="33">
        <f t="shared" si="327"/>
        <v>21124754.399999999</v>
      </c>
      <c r="I289" s="33">
        <f t="shared" si="327"/>
        <v>21124754.399999999</v>
      </c>
      <c r="J289" s="33">
        <f t="shared" si="327"/>
        <v>0</v>
      </c>
      <c r="K289" s="33">
        <f t="shared" si="327"/>
        <v>21124754.399999999</v>
      </c>
      <c r="L289" s="33">
        <f t="shared" si="327"/>
        <v>0</v>
      </c>
      <c r="M289" s="33">
        <f t="shared" si="327"/>
        <v>21124754.399999999</v>
      </c>
      <c r="N289" s="33">
        <f t="shared" si="327"/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</row>
    <row r="290" spans="1:21" s="17" customFormat="1" ht="15.75" customHeight="1">
      <c r="A290" s="47" t="s">
        <v>38</v>
      </c>
      <c r="B290" s="22" t="s">
        <v>9</v>
      </c>
      <c r="C290" s="22" t="s">
        <v>107</v>
      </c>
      <c r="D290" s="22" t="s">
        <v>27</v>
      </c>
      <c r="E290" s="34" t="s">
        <v>287</v>
      </c>
      <c r="F290" s="22">
        <v>400</v>
      </c>
      <c r="G290" s="46">
        <v>0</v>
      </c>
      <c r="H290" s="46">
        <f>21124754.4</f>
        <v>21124754.399999999</v>
      </c>
      <c r="I290" s="46">
        <f>G290+H290</f>
        <v>21124754.399999999</v>
      </c>
      <c r="J290" s="46"/>
      <c r="K290" s="46">
        <f>I290+J290</f>
        <v>21124754.399999999</v>
      </c>
      <c r="L290" s="46"/>
      <c r="M290" s="46">
        <f>K290+L290</f>
        <v>21124754.399999999</v>
      </c>
      <c r="N290" s="46">
        <v>0</v>
      </c>
      <c r="O290" s="46">
        <v>0</v>
      </c>
      <c r="P290" s="46">
        <f>N290+O290</f>
        <v>0</v>
      </c>
      <c r="Q290" s="46">
        <v>0</v>
      </c>
      <c r="R290" s="46">
        <f>P290+Q290</f>
        <v>0</v>
      </c>
      <c r="S290" s="46">
        <v>0</v>
      </c>
      <c r="T290" s="46">
        <v>0</v>
      </c>
      <c r="U290" s="46">
        <f>S290+T290</f>
        <v>0</v>
      </c>
    </row>
    <row r="291" spans="1:21" s="17" customFormat="1" ht="32.25" customHeight="1">
      <c r="A291" s="42" t="s">
        <v>109</v>
      </c>
      <c r="B291" s="19" t="s">
        <v>9</v>
      </c>
      <c r="C291" s="19" t="s">
        <v>107</v>
      </c>
      <c r="D291" s="19" t="s">
        <v>27</v>
      </c>
      <c r="E291" s="19" t="s">
        <v>288</v>
      </c>
      <c r="F291" s="94"/>
      <c r="G291" s="33">
        <f t="shared" ref="G291:N291" si="328">G292</f>
        <v>0</v>
      </c>
      <c r="H291" s="33">
        <f t="shared" si="328"/>
        <v>6720287.2799999993</v>
      </c>
      <c r="I291" s="33">
        <f t="shared" si="328"/>
        <v>6720287.2799999993</v>
      </c>
      <c r="J291" s="33">
        <f t="shared" si="328"/>
        <v>-397268.52</v>
      </c>
      <c r="K291" s="33">
        <f t="shared" si="328"/>
        <v>6323018.7599999998</v>
      </c>
      <c r="L291" s="33">
        <f t="shared" si="328"/>
        <v>0</v>
      </c>
      <c r="M291" s="33">
        <f t="shared" si="328"/>
        <v>6323018.7599999998</v>
      </c>
      <c r="N291" s="33">
        <f t="shared" si="328"/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</row>
    <row r="292" spans="1:21" s="17" customFormat="1" ht="15.75" customHeight="1">
      <c r="A292" s="47" t="s">
        <v>38</v>
      </c>
      <c r="B292" s="22" t="s">
        <v>9</v>
      </c>
      <c r="C292" s="22" t="s">
        <v>107</v>
      </c>
      <c r="D292" s="22" t="s">
        <v>27</v>
      </c>
      <c r="E292" s="34" t="s">
        <v>288</v>
      </c>
      <c r="F292" s="22">
        <v>400</v>
      </c>
      <c r="G292" s="46">
        <v>0</v>
      </c>
      <c r="H292" s="46">
        <f>5781188.6+939098.68</f>
        <v>6720287.2799999993</v>
      </c>
      <c r="I292" s="46">
        <f>H292+G292</f>
        <v>6720287.2799999993</v>
      </c>
      <c r="J292" s="46">
        <f>-63868.88-333399.64</f>
        <v>-397268.52</v>
      </c>
      <c r="K292" s="46">
        <f>J292+I292</f>
        <v>6323018.7599999998</v>
      </c>
      <c r="L292" s="46">
        <v>0</v>
      </c>
      <c r="M292" s="46">
        <f>L292+K292</f>
        <v>6323018.7599999998</v>
      </c>
      <c r="N292" s="46">
        <v>0</v>
      </c>
      <c r="O292" s="46">
        <v>0</v>
      </c>
      <c r="P292" s="46">
        <f>N292+O292</f>
        <v>0</v>
      </c>
      <c r="Q292" s="46">
        <v>0</v>
      </c>
      <c r="R292" s="46">
        <f>P292+Q292</f>
        <v>0</v>
      </c>
      <c r="S292" s="46">
        <v>0</v>
      </c>
      <c r="T292" s="46">
        <v>0</v>
      </c>
      <c r="U292" s="46">
        <f>S292+T292</f>
        <v>0</v>
      </c>
    </row>
    <row r="293" spans="1:21" s="17" customFormat="1">
      <c r="A293" s="14" t="s">
        <v>189</v>
      </c>
      <c r="B293" s="15" t="s">
        <v>9</v>
      </c>
      <c r="C293" s="15" t="s">
        <v>107</v>
      </c>
      <c r="D293" s="15" t="s">
        <v>27</v>
      </c>
      <c r="E293" s="15" t="s">
        <v>190</v>
      </c>
      <c r="F293" s="15" t="s">
        <v>0</v>
      </c>
      <c r="G293" s="52">
        <f t="shared" ref="G293:U293" si="329">G294</f>
        <v>4810519.9000000004</v>
      </c>
      <c r="H293" s="52">
        <f t="shared" si="329"/>
        <v>761717.97000000032</v>
      </c>
      <c r="I293" s="52">
        <f t="shared" si="329"/>
        <v>5572237.8700000001</v>
      </c>
      <c r="J293" s="52">
        <f t="shared" si="329"/>
        <v>1961996.7000000002</v>
      </c>
      <c r="K293" s="52">
        <f t="shared" si="329"/>
        <v>7534234.5700000003</v>
      </c>
      <c r="L293" s="52">
        <f t="shared" si="329"/>
        <v>4636623.54</v>
      </c>
      <c r="M293" s="52">
        <f t="shared" si="329"/>
        <v>12170858.109999999</v>
      </c>
      <c r="N293" s="52">
        <f t="shared" si="329"/>
        <v>3607971</v>
      </c>
      <c r="O293" s="52">
        <f t="shared" si="329"/>
        <v>0</v>
      </c>
      <c r="P293" s="52">
        <f t="shared" si="329"/>
        <v>3607971</v>
      </c>
      <c r="Q293" s="52">
        <f t="shared" si="329"/>
        <v>0</v>
      </c>
      <c r="R293" s="52">
        <f t="shared" si="329"/>
        <v>3607971</v>
      </c>
      <c r="S293" s="52">
        <f t="shared" si="329"/>
        <v>3607971</v>
      </c>
      <c r="T293" s="52">
        <f t="shared" si="329"/>
        <v>0</v>
      </c>
      <c r="U293" s="52">
        <f t="shared" si="329"/>
        <v>3607971</v>
      </c>
    </row>
    <row r="294" spans="1:21" s="17" customFormat="1" ht="15" customHeight="1">
      <c r="A294" s="18" t="s">
        <v>191</v>
      </c>
      <c r="B294" s="19" t="s">
        <v>9</v>
      </c>
      <c r="C294" s="19" t="s">
        <v>107</v>
      </c>
      <c r="D294" s="19" t="s">
        <v>27</v>
      </c>
      <c r="E294" s="19" t="s">
        <v>192</v>
      </c>
      <c r="F294" s="19" t="s">
        <v>0</v>
      </c>
      <c r="G294" s="33">
        <f t="shared" ref="G294:U294" si="330">G295+G296+G297</f>
        <v>4810519.9000000004</v>
      </c>
      <c r="H294" s="33">
        <f t="shared" si="330"/>
        <v>761717.97000000032</v>
      </c>
      <c r="I294" s="33">
        <f t="shared" si="330"/>
        <v>5572237.8700000001</v>
      </c>
      <c r="J294" s="33">
        <f t="shared" ref="J294:K294" si="331">J295+J296+J297</f>
        <v>1961996.7000000002</v>
      </c>
      <c r="K294" s="33">
        <f t="shared" si="331"/>
        <v>7534234.5700000003</v>
      </c>
      <c r="L294" s="33">
        <f t="shared" ref="L294:M294" si="332">L295+L296+L297</f>
        <v>4636623.54</v>
      </c>
      <c r="M294" s="33">
        <f t="shared" si="332"/>
        <v>12170858.109999999</v>
      </c>
      <c r="N294" s="33">
        <f t="shared" si="330"/>
        <v>3607971</v>
      </c>
      <c r="O294" s="33">
        <f t="shared" si="330"/>
        <v>0</v>
      </c>
      <c r="P294" s="33">
        <f t="shared" si="330"/>
        <v>3607971</v>
      </c>
      <c r="Q294" s="33">
        <f t="shared" ref="Q294:R294" si="333">Q295+Q296+Q297</f>
        <v>0</v>
      </c>
      <c r="R294" s="33">
        <f t="shared" si="333"/>
        <v>3607971</v>
      </c>
      <c r="S294" s="33">
        <f t="shared" si="330"/>
        <v>3607971</v>
      </c>
      <c r="T294" s="33">
        <f t="shared" si="330"/>
        <v>0</v>
      </c>
      <c r="U294" s="33">
        <f t="shared" si="330"/>
        <v>3607971</v>
      </c>
    </row>
    <row r="295" spans="1:21" s="17" customFormat="1">
      <c r="A295" s="21" t="s">
        <v>21</v>
      </c>
      <c r="B295" s="22" t="s">
        <v>9</v>
      </c>
      <c r="C295" s="22" t="s">
        <v>107</v>
      </c>
      <c r="D295" s="22" t="s">
        <v>27</v>
      </c>
      <c r="E295" s="22" t="s">
        <v>192</v>
      </c>
      <c r="F295" s="22" t="s">
        <v>22</v>
      </c>
      <c r="G295" s="46">
        <v>975593.9</v>
      </c>
      <c r="H295" s="46">
        <f>23445.6+1109451.1-179174.7-196419.2+4415.17</f>
        <v>761717.97000000032</v>
      </c>
      <c r="I295" s="46">
        <f>G295+H295</f>
        <v>1737311.8700000003</v>
      </c>
      <c r="J295" s="46">
        <f>1253374.8+410883</f>
        <v>1664257.8</v>
      </c>
      <c r="K295" s="46">
        <f>I295+J295</f>
        <v>3401569.6700000004</v>
      </c>
      <c r="L295" s="46">
        <f>3167509.2+432350.4+833322</f>
        <v>4433181.5999999996</v>
      </c>
      <c r="M295" s="46">
        <f>K295+L295</f>
        <v>7834751.2699999996</v>
      </c>
      <c r="N295" s="46">
        <v>600000</v>
      </c>
      <c r="O295" s="46">
        <v>0</v>
      </c>
      <c r="P295" s="46">
        <f>N295+O295</f>
        <v>600000</v>
      </c>
      <c r="Q295" s="46">
        <v>0</v>
      </c>
      <c r="R295" s="46">
        <f>P295+Q295</f>
        <v>600000</v>
      </c>
      <c r="S295" s="46">
        <v>600000</v>
      </c>
      <c r="T295" s="46">
        <v>0</v>
      </c>
      <c r="U295" s="46">
        <f>S295+T295</f>
        <v>600000</v>
      </c>
    </row>
    <row r="296" spans="1:21" s="17" customFormat="1" hidden="1" outlineLevel="1">
      <c r="A296" s="21" t="s">
        <v>38</v>
      </c>
      <c r="B296" s="22" t="s">
        <v>9</v>
      </c>
      <c r="C296" s="22" t="s">
        <v>107</v>
      </c>
      <c r="D296" s="22" t="s">
        <v>27</v>
      </c>
      <c r="E296" s="22" t="s">
        <v>192</v>
      </c>
      <c r="F296" s="22" t="s">
        <v>39</v>
      </c>
      <c r="G296" s="46">
        <v>0</v>
      </c>
      <c r="H296" s="46">
        <v>0</v>
      </c>
      <c r="I296" s="46">
        <f>G296+H296</f>
        <v>0</v>
      </c>
      <c r="J296" s="46">
        <v>0</v>
      </c>
      <c r="K296" s="46">
        <f>I296+J296</f>
        <v>0</v>
      </c>
      <c r="L296" s="46">
        <v>0</v>
      </c>
      <c r="M296" s="46">
        <f>K296+L296</f>
        <v>0</v>
      </c>
      <c r="N296" s="46">
        <v>0</v>
      </c>
      <c r="O296" s="46">
        <v>0</v>
      </c>
      <c r="P296" s="46">
        <f t="shared" ref="P296:P297" si="334">N296+O296</f>
        <v>0</v>
      </c>
      <c r="Q296" s="46">
        <v>0</v>
      </c>
      <c r="R296" s="46">
        <f t="shared" ref="R296:R297" si="335">P296+Q296</f>
        <v>0</v>
      </c>
      <c r="S296" s="46">
        <v>0</v>
      </c>
      <c r="T296" s="46">
        <v>0</v>
      </c>
      <c r="U296" s="46">
        <f t="shared" ref="U296:U297" si="336">S296+T296</f>
        <v>0</v>
      </c>
    </row>
    <row r="297" spans="1:21" s="17" customFormat="1" collapsed="1">
      <c r="A297" s="21" t="s">
        <v>40</v>
      </c>
      <c r="B297" s="22" t="s">
        <v>9</v>
      </c>
      <c r="C297" s="22" t="s">
        <v>107</v>
      </c>
      <c r="D297" s="22" t="s">
        <v>27</v>
      </c>
      <c r="E297" s="22" t="s">
        <v>192</v>
      </c>
      <c r="F297" s="22" t="s">
        <v>41</v>
      </c>
      <c r="G297" s="46">
        <v>3834926</v>
      </c>
      <c r="H297" s="46">
        <v>0</v>
      </c>
      <c r="I297" s="46">
        <f>G297+H297</f>
        <v>3834926</v>
      </c>
      <c r="J297" s="46">
        <v>297738.90000000002</v>
      </c>
      <c r="K297" s="46">
        <f>I297+J297</f>
        <v>4132664.9</v>
      </c>
      <c r="L297" s="46">
        <v>203441.94</v>
      </c>
      <c r="M297" s="46">
        <f>K297+L297</f>
        <v>4336106.84</v>
      </c>
      <c r="N297" s="46">
        <v>3007971</v>
      </c>
      <c r="O297" s="46">
        <v>0</v>
      </c>
      <c r="P297" s="46">
        <f t="shared" si="334"/>
        <v>3007971</v>
      </c>
      <c r="Q297" s="46">
        <v>0</v>
      </c>
      <c r="R297" s="46">
        <f t="shared" si="335"/>
        <v>3007971</v>
      </c>
      <c r="S297" s="46">
        <v>3007971</v>
      </c>
      <c r="T297" s="46">
        <v>0</v>
      </c>
      <c r="U297" s="46">
        <f t="shared" si="336"/>
        <v>3007971</v>
      </c>
    </row>
    <row r="298" spans="1:21" s="17" customFormat="1">
      <c r="A298" s="14" t="s">
        <v>193</v>
      </c>
      <c r="B298" s="15" t="s">
        <v>9</v>
      </c>
      <c r="C298" s="15" t="s">
        <v>107</v>
      </c>
      <c r="D298" s="15" t="s">
        <v>12</v>
      </c>
      <c r="E298" s="15" t="s">
        <v>0</v>
      </c>
      <c r="F298" s="15" t="s">
        <v>0</v>
      </c>
      <c r="G298" s="16">
        <f t="shared" ref="G298:U298" si="337">G299</f>
        <v>70478547.200000003</v>
      </c>
      <c r="H298" s="16">
        <f t="shared" si="337"/>
        <v>44056904.659999996</v>
      </c>
      <c r="I298" s="16">
        <f t="shared" si="337"/>
        <v>114535451.86</v>
      </c>
      <c r="J298" s="16">
        <f t="shared" si="337"/>
        <v>19244080.919999998</v>
      </c>
      <c r="K298" s="16">
        <f t="shared" si="337"/>
        <v>133779532.78</v>
      </c>
      <c r="L298" s="16">
        <f t="shared" si="337"/>
        <v>3956500.7499999995</v>
      </c>
      <c r="M298" s="16">
        <f t="shared" si="337"/>
        <v>137736033.53000003</v>
      </c>
      <c r="N298" s="16">
        <f t="shared" si="337"/>
        <v>60141179.090000004</v>
      </c>
      <c r="O298" s="16">
        <f t="shared" si="337"/>
        <v>0</v>
      </c>
      <c r="P298" s="16">
        <f t="shared" si="337"/>
        <v>60141179.090000004</v>
      </c>
      <c r="Q298" s="16">
        <f t="shared" si="337"/>
        <v>0</v>
      </c>
      <c r="R298" s="16">
        <f t="shared" si="337"/>
        <v>60141179.090000004</v>
      </c>
      <c r="S298" s="16">
        <f t="shared" si="337"/>
        <v>60090373.610000007</v>
      </c>
      <c r="T298" s="16">
        <f t="shared" si="337"/>
        <v>0</v>
      </c>
      <c r="U298" s="16">
        <f t="shared" si="337"/>
        <v>60090373.610000007</v>
      </c>
    </row>
    <row r="299" spans="1:21" s="17" customFormat="1" ht="25.5">
      <c r="A299" s="14" t="s">
        <v>172</v>
      </c>
      <c r="B299" s="15" t="s">
        <v>9</v>
      </c>
      <c r="C299" s="15" t="s">
        <v>107</v>
      </c>
      <c r="D299" s="15" t="s">
        <v>12</v>
      </c>
      <c r="E299" s="15" t="s">
        <v>173</v>
      </c>
      <c r="F299" s="15" t="s">
        <v>0</v>
      </c>
      <c r="G299" s="16">
        <f t="shared" ref="G299:U299" si="338">G300+G303</f>
        <v>70478547.200000003</v>
      </c>
      <c r="H299" s="16">
        <f t="shared" si="338"/>
        <v>44056904.659999996</v>
      </c>
      <c r="I299" s="16">
        <f t="shared" si="338"/>
        <v>114535451.86</v>
      </c>
      <c r="J299" s="16">
        <f t="shared" ref="J299:K299" si="339">J300+J303</f>
        <v>19244080.919999998</v>
      </c>
      <c r="K299" s="16">
        <f t="shared" si="339"/>
        <v>133779532.78</v>
      </c>
      <c r="L299" s="16">
        <f t="shared" ref="L299:M299" si="340">L300+L303</f>
        <v>3956500.7499999995</v>
      </c>
      <c r="M299" s="16">
        <f t="shared" si="340"/>
        <v>137736033.53000003</v>
      </c>
      <c r="N299" s="16">
        <f t="shared" si="338"/>
        <v>60141179.090000004</v>
      </c>
      <c r="O299" s="16">
        <f t="shared" si="338"/>
        <v>0</v>
      </c>
      <c r="P299" s="16">
        <f t="shared" si="338"/>
        <v>60141179.090000004</v>
      </c>
      <c r="Q299" s="16">
        <f t="shared" ref="Q299:R299" si="341">Q300+Q303</f>
        <v>0</v>
      </c>
      <c r="R299" s="16">
        <f t="shared" si="341"/>
        <v>60141179.090000004</v>
      </c>
      <c r="S299" s="16">
        <f t="shared" si="338"/>
        <v>60090373.610000007</v>
      </c>
      <c r="T299" s="16">
        <f t="shared" si="338"/>
        <v>0</v>
      </c>
      <c r="U299" s="16">
        <f t="shared" si="338"/>
        <v>60090373.610000007</v>
      </c>
    </row>
    <row r="300" spans="1:21" s="17" customFormat="1" ht="25.5" hidden="1" customHeight="1" outlineLevel="1">
      <c r="A300" s="14" t="s">
        <v>194</v>
      </c>
      <c r="B300" s="15" t="s">
        <v>9</v>
      </c>
      <c r="C300" s="15" t="s">
        <v>107</v>
      </c>
      <c r="D300" s="15" t="s">
        <v>12</v>
      </c>
      <c r="E300" s="15" t="s">
        <v>195</v>
      </c>
      <c r="F300" s="15" t="s">
        <v>0</v>
      </c>
      <c r="G300" s="16">
        <f t="shared" ref="G300:U301" si="342">G301</f>
        <v>0</v>
      </c>
      <c r="H300" s="16">
        <f t="shared" si="342"/>
        <v>0</v>
      </c>
      <c r="I300" s="16">
        <f t="shared" si="342"/>
        <v>0</v>
      </c>
      <c r="J300" s="16">
        <f t="shared" si="342"/>
        <v>0</v>
      </c>
      <c r="K300" s="16">
        <f t="shared" si="342"/>
        <v>0</v>
      </c>
      <c r="L300" s="16">
        <f t="shared" si="342"/>
        <v>0</v>
      </c>
      <c r="M300" s="16">
        <f t="shared" si="342"/>
        <v>0</v>
      </c>
      <c r="N300" s="16">
        <f t="shared" si="342"/>
        <v>0</v>
      </c>
      <c r="O300" s="16">
        <f t="shared" si="342"/>
        <v>0</v>
      </c>
      <c r="P300" s="16">
        <f t="shared" si="342"/>
        <v>0</v>
      </c>
      <c r="Q300" s="16">
        <f t="shared" si="342"/>
        <v>0</v>
      </c>
      <c r="R300" s="16">
        <f t="shared" si="342"/>
        <v>0</v>
      </c>
      <c r="S300" s="16">
        <f t="shared" si="342"/>
        <v>0</v>
      </c>
      <c r="T300" s="16">
        <f t="shared" si="342"/>
        <v>0</v>
      </c>
      <c r="U300" s="16">
        <f t="shared" si="342"/>
        <v>0</v>
      </c>
    </row>
    <row r="301" spans="1:21" s="17" customFormat="1" ht="39.75" hidden="1" customHeight="1" outlineLevel="1">
      <c r="A301" s="18" t="s">
        <v>196</v>
      </c>
      <c r="B301" s="19" t="s">
        <v>9</v>
      </c>
      <c r="C301" s="19" t="s">
        <v>107</v>
      </c>
      <c r="D301" s="19" t="s">
        <v>12</v>
      </c>
      <c r="E301" s="19" t="s">
        <v>197</v>
      </c>
      <c r="F301" s="19" t="s">
        <v>0</v>
      </c>
      <c r="G301" s="20">
        <f t="shared" si="342"/>
        <v>0</v>
      </c>
      <c r="H301" s="20">
        <f t="shared" si="342"/>
        <v>0</v>
      </c>
      <c r="I301" s="20">
        <f t="shared" si="342"/>
        <v>0</v>
      </c>
      <c r="J301" s="20">
        <f t="shared" si="342"/>
        <v>0</v>
      </c>
      <c r="K301" s="20">
        <f t="shared" si="342"/>
        <v>0</v>
      </c>
      <c r="L301" s="20">
        <f t="shared" si="342"/>
        <v>0</v>
      </c>
      <c r="M301" s="20">
        <f t="shared" si="342"/>
        <v>0</v>
      </c>
      <c r="N301" s="20">
        <f t="shared" si="342"/>
        <v>0</v>
      </c>
      <c r="O301" s="20">
        <f t="shared" si="342"/>
        <v>0</v>
      </c>
      <c r="P301" s="20">
        <f t="shared" si="342"/>
        <v>0</v>
      </c>
      <c r="Q301" s="20">
        <f t="shared" si="342"/>
        <v>0</v>
      </c>
      <c r="R301" s="20">
        <f t="shared" si="342"/>
        <v>0</v>
      </c>
      <c r="S301" s="20">
        <f t="shared" si="342"/>
        <v>0</v>
      </c>
      <c r="T301" s="20">
        <f t="shared" si="342"/>
        <v>0</v>
      </c>
      <c r="U301" s="20">
        <f t="shared" si="342"/>
        <v>0</v>
      </c>
    </row>
    <row r="302" spans="1:21" s="17" customFormat="1" hidden="1" outlineLevel="1">
      <c r="A302" s="21" t="s">
        <v>21</v>
      </c>
      <c r="B302" s="22" t="s">
        <v>9</v>
      </c>
      <c r="C302" s="22" t="s">
        <v>107</v>
      </c>
      <c r="D302" s="22" t="s">
        <v>12</v>
      </c>
      <c r="E302" s="22" t="s">
        <v>197</v>
      </c>
      <c r="F302" s="22" t="s">
        <v>22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</row>
    <row r="303" spans="1:21" s="17" customFormat="1" collapsed="1">
      <c r="A303" s="14" t="s">
        <v>174</v>
      </c>
      <c r="B303" s="15" t="s">
        <v>9</v>
      </c>
      <c r="C303" s="15" t="s">
        <v>107</v>
      </c>
      <c r="D303" s="15" t="s">
        <v>12</v>
      </c>
      <c r="E303" s="15" t="s">
        <v>175</v>
      </c>
      <c r="F303" s="15" t="s">
        <v>0</v>
      </c>
      <c r="G303" s="16">
        <f t="shared" ref="G303:I303" si="343">G304+G306+G308+G311+G313+G322+G320+G324+G326+G317</f>
        <v>70478547.200000003</v>
      </c>
      <c r="H303" s="16">
        <f t="shared" si="343"/>
        <v>44056904.659999996</v>
      </c>
      <c r="I303" s="16">
        <f t="shared" si="343"/>
        <v>114535451.86</v>
      </c>
      <c r="J303" s="16">
        <f>J304+J306+J308+J311+J313+J322+J320+J324+J326+J317</f>
        <v>19244080.919999998</v>
      </c>
      <c r="K303" s="16">
        <f t="shared" ref="K303:U303" si="344">K304+K306+K308+K311+K313+K322+K320+K324+K326+K317</f>
        <v>133779532.78</v>
      </c>
      <c r="L303" s="16">
        <f>L304+L306+L308+L311+L313+L322+L320+L324+L326+L317</f>
        <v>3956500.7499999995</v>
      </c>
      <c r="M303" s="16">
        <f t="shared" ref="M303" si="345">M304+M306+M308+M311+M313+M322+M320+M324+M326+M317</f>
        <v>137736033.53000003</v>
      </c>
      <c r="N303" s="16">
        <f t="shared" si="344"/>
        <v>60141179.090000004</v>
      </c>
      <c r="O303" s="16">
        <f t="shared" si="344"/>
        <v>0</v>
      </c>
      <c r="P303" s="16">
        <f t="shared" si="344"/>
        <v>60141179.090000004</v>
      </c>
      <c r="Q303" s="16">
        <f t="shared" si="344"/>
        <v>0</v>
      </c>
      <c r="R303" s="16">
        <f t="shared" si="344"/>
        <v>60141179.090000004</v>
      </c>
      <c r="S303" s="16">
        <f t="shared" si="344"/>
        <v>60090373.610000007</v>
      </c>
      <c r="T303" s="16">
        <f t="shared" si="344"/>
        <v>0</v>
      </c>
      <c r="U303" s="16">
        <f t="shared" si="344"/>
        <v>60090373.610000007</v>
      </c>
    </row>
    <row r="304" spans="1:21" s="17" customFormat="1" ht="13.5">
      <c r="A304" s="18" t="s">
        <v>198</v>
      </c>
      <c r="B304" s="19" t="s">
        <v>9</v>
      </c>
      <c r="C304" s="19" t="s">
        <v>107</v>
      </c>
      <c r="D304" s="19" t="s">
        <v>12</v>
      </c>
      <c r="E304" s="19" t="s">
        <v>199</v>
      </c>
      <c r="F304" s="19" t="s">
        <v>0</v>
      </c>
      <c r="G304" s="33">
        <f t="shared" ref="G304:U304" si="346">G305</f>
        <v>13609134.85</v>
      </c>
      <c r="H304" s="33">
        <f t="shared" si="346"/>
        <v>142791.26999999984</v>
      </c>
      <c r="I304" s="33">
        <f t="shared" si="346"/>
        <v>13751926.119999999</v>
      </c>
      <c r="J304" s="33">
        <f t="shared" si="346"/>
        <v>0</v>
      </c>
      <c r="K304" s="33">
        <f t="shared" si="346"/>
        <v>13751926.119999999</v>
      </c>
      <c r="L304" s="33">
        <f t="shared" si="346"/>
        <v>2076821</v>
      </c>
      <c r="M304" s="33">
        <f t="shared" si="346"/>
        <v>15828747.119999999</v>
      </c>
      <c r="N304" s="33">
        <f t="shared" si="346"/>
        <v>13090408.890000001</v>
      </c>
      <c r="O304" s="33">
        <f t="shared" si="346"/>
        <v>0</v>
      </c>
      <c r="P304" s="33">
        <f t="shared" si="346"/>
        <v>13090408.890000001</v>
      </c>
      <c r="Q304" s="33">
        <f t="shared" si="346"/>
        <v>0</v>
      </c>
      <c r="R304" s="33">
        <f t="shared" si="346"/>
        <v>13090408.890000001</v>
      </c>
      <c r="S304" s="33">
        <f t="shared" si="346"/>
        <v>13090408.890000001</v>
      </c>
      <c r="T304" s="33">
        <f t="shared" si="346"/>
        <v>0</v>
      </c>
      <c r="U304" s="33">
        <f t="shared" si="346"/>
        <v>13090408.890000001</v>
      </c>
    </row>
    <row r="305" spans="1:21" s="17" customFormat="1">
      <c r="A305" s="21" t="s">
        <v>21</v>
      </c>
      <c r="B305" s="22" t="s">
        <v>9</v>
      </c>
      <c r="C305" s="22" t="s">
        <v>107</v>
      </c>
      <c r="D305" s="22" t="s">
        <v>12</v>
      </c>
      <c r="E305" s="22" t="s">
        <v>199</v>
      </c>
      <c r="F305" s="22" t="s">
        <v>22</v>
      </c>
      <c r="G305" s="46">
        <v>13609134.85</v>
      </c>
      <c r="H305" s="46">
        <f>-1109451.1+770391.83+481850.54</f>
        <v>142791.26999999984</v>
      </c>
      <c r="I305" s="46">
        <f>G305+H305</f>
        <v>13751926.119999999</v>
      </c>
      <c r="J305" s="46"/>
      <c r="K305" s="46">
        <f>I305+J305</f>
        <v>13751926.119999999</v>
      </c>
      <c r="L305" s="46">
        <v>2076821</v>
      </c>
      <c r="M305" s="46">
        <f>K305+L305</f>
        <v>15828747.119999999</v>
      </c>
      <c r="N305" s="46">
        <v>13090408.890000001</v>
      </c>
      <c r="O305" s="46">
        <v>0</v>
      </c>
      <c r="P305" s="46">
        <f>N305+O305</f>
        <v>13090408.890000001</v>
      </c>
      <c r="Q305" s="46">
        <v>0</v>
      </c>
      <c r="R305" s="46">
        <f>P305+Q305</f>
        <v>13090408.890000001</v>
      </c>
      <c r="S305" s="46">
        <v>13090408.890000001</v>
      </c>
      <c r="T305" s="46">
        <v>0</v>
      </c>
      <c r="U305" s="46">
        <f>S305+T305</f>
        <v>13090408.890000001</v>
      </c>
    </row>
    <row r="306" spans="1:21" s="17" customFormat="1" ht="13.5">
      <c r="A306" s="18" t="s">
        <v>200</v>
      </c>
      <c r="B306" s="19" t="s">
        <v>9</v>
      </c>
      <c r="C306" s="19" t="s">
        <v>107</v>
      </c>
      <c r="D306" s="19" t="s">
        <v>12</v>
      </c>
      <c r="E306" s="19" t="s">
        <v>201</v>
      </c>
      <c r="F306" s="19" t="s">
        <v>0</v>
      </c>
      <c r="G306" s="20">
        <f t="shared" ref="G306:U306" si="347">G307</f>
        <v>2500000</v>
      </c>
      <c r="H306" s="20">
        <f t="shared" si="347"/>
        <v>9009000</v>
      </c>
      <c r="I306" s="20">
        <f t="shared" si="347"/>
        <v>11509000</v>
      </c>
      <c r="J306" s="20">
        <f t="shared" si="347"/>
        <v>817655.23</v>
      </c>
      <c r="K306" s="20">
        <f t="shared" si="347"/>
        <v>12326655.23</v>
      </c>
      <c r="L306" s="20">
        <f t="shared" si="347"/>
        <v>0</v>
      </c>
      <c r="M306" s="20">
        <f t="shared" si="347"/>
        <v>12326655.23</v>
      </c>
      <c r="N306" s="20">
        <f t="shared" si="347"/>
        <v>3575000</v>
      </c>
      <c r="O306" s="20">
        <f t="shared" si="347"/>
        <v>0</v>
      </c>
      <c r="P306" s="20">
        <f t="shared" si="347"/>
        <v>3575000</v>
      </c>
      <c r="Q306" s="20">
        <f t="shared" si="347"/>
        <v>0</v>
      </c>
      <c r="R306" s="20">
        <f t="shared" si="347"/>
        <v>3575000</v>
      </c>
      <c r="S306" s="20">
        <f t="shared" si="347"/>
        <v>3575000</v>
      </c>
      <c r="T306" s="20">
        <f t="shared" si="347"/>
        <v>0</v>
      </c>
      <c r="U306" s="20">
        <f t="shared" si="347"/>
        <v>3575000</v>
      </c>
    </row>
    <row r="307" spans="1:21" s="17" customFormat="1">
      <c r="A307" s="21" t="s">
        <v>21</v>
      </c>
      <c r="B307" s="22" t="s">
        <v>9</v>
      </c>
      <c r="C307" s="48" t="s">
        <v>107</v>
      </c>
      <c r="D307" s="48" t="s">
        <v>12</v>
      </c>
      <c r="E307" s="22" t="s">
        <v>201</v>
      </c>
      <c r="F307" s="22" t="s">
        <v>22</v>
      </c>
      <c r="G307" s="46">
        <v>2500000</v>
      </c>
      <c r="H307" s="46">
        <v>9009000</v>
      </c>
      <c r="I307" s="46">
        <f>G307+H307</f>
        <v>11509000</v>
      </c>
      <c r="J307" s="46">
        <f>408366+409289.23</f>
        <v>817655.23</v>
      </c>
      <c r="K307" s="46">
        <f>I307+J307</f>
        <v>12326655.23</v>
      </c>
      <c r="L307" s="46">
        <v>0</v>
      </c>
      <c r="M307" s="46">
        <f>K307+L307</f>
        <v>12326655.23</v>
      </c>
      <c r="N307" s="46">
        <v>3575000</v>
      </c>
      <c r="O307" s="46">
        <v>0</v>
      </c>
      <c r="P307" s="46">
        <f>N307+O307</f>
        <v>3575000</v>
      </c>
      <c r="Q307" s="46">
        <v>0</v>
      </c>
      <c r="R307" s="46">
        <f>P307+Q307</f>
        <v>3575000</v>
      </c>
      <c r="S307" s="46">
        <v>3575000</v>
      </c>
      <c r="T307" s="46">
        <v>0</v>
      </c>
      <c r="U307" s="46">
        <f>S307+T307</f>
        <v>3575000</v>
      </c>
    </row>
    <row r="308" spans="1:21" s="17" customFormat="1" ht="15" customHeight="1">
      <c r="A308" s="18" t="s">
        <v>202</v>
      </c>
      <c r="B308" s="19" t="s">
        <v>9</v>
      </c>
      <c r="C308" s="19" t="s">
        <v>107</v>
      </c>
      <c r="D308" s="19" t="s">
        <v>12</v>
      </c>
      <c r="E308" s="19" t="s">
        <v>203</v>
      </c>
      <c r="F308" s="19" t="s">
        <v>0</v>
      </c>
      <c r="G308" s="33">
        <f t="shared" ref="G308:U308" si="348">G310+G309</f>
        <v>6059937.1200000001</v>
      </c>
      <c r="H308" s="33">
        <f t="shared" si="348"/>
        <v>-204179.19</v>
      </c>
      <c r="I308" s="33">
        <f t="shared" si="348"/>
        <v>5855757.9299999997</v>
      </c>
      <c r="J308" s="33">
        <f t="shared" ref="J308:K308" si="349">J310+J309</f>
        <v>0</v>
      </c>
      <c r="K308" s="33">
        <f t="shared" si="349"/>
        <v>5855757.9299999997</v>
      </c>
      <c r="L308" s="33">
        <f t="shared" ref="L308:M308" si="350">L310+L309</f>
        <v>0</v>
      </c>
      <c r="M308" s="33">
        <f t="shared" si="350"/>
        <v>5855757.9299999997</v>
      </c>
      <c r="N308" s="33">
        <f t="shared" si="348"/>
        <v>6031430.6699999999</v>
      </c>
      <c r="O308" s="33">
        <f t="shared" si="348"/>
        <v>0</v>
      </c>
      <c r="P308" s="33">
        <f t="shared" si="348"/>
        <v>6031430.6699999999</v>
      </c>
      <c r="Q308" s="33">
        <f t="shared" ref="Q308:R308" si="351">Q310+Q309</f>
        <v>0</v>
      </c>
      <c r="R308" s="33">
        <f t="shared" si="351"/>
        <v>6031430.6699999999</v>
      </c>
      <c r="S308" s="33">
        <f t="shared" si="348"/>
        <v>6031430.6699999999</v>
      </c>
      <c r="T308" s="33">
        <f t="shared" si="348"/>
        <v>0</v>
      </c>
      <c r="U308" s="33">
        <f t="shared" si="348"/>
        <v>6031430.6699999999</v>
      </c>
    </row>
    <row r="309" spans="1:21" s="17" customFormat="1" ht="15" customHeight="1">
      <c r="A309" s="21" t="s">
        <v>21</v>
      </c>
      <c r="B309" s="22" t="s">
        <v>9</v>
      </c>
      <c r="C309" s="22" t="s">
        <v>107</v>
      </c>
      <c r="D309" s="22" t="s">
        <v>12</v>
      </c>
      <c r="E309" s="22" t="s">
        <v>203</v>
      </c>
      <c r="F309" s="22" t="s">
        <v>22</v>
      </c>
      <c r="G309" s="75">
        <v>204179.19</v>
      </c>
      <c r="H309" s="75">
        <v>-204179.19</v>
      </c>
      <c r="I309" s="75">
        <f>G309+H309</f>
        <v>0</v>
      </c>
      <c r="J309" s="75"/>
      <c r="K309" s="75">
        <f>I309+J309</f>
        <v>0</v>
      </c>
      <c r="L309" s="75"/>
      <c r="M309" s="75">
        <f>K309+L309</f>
        <v>0</v>
      </c>
      <c r="N309" s="75">
        <v>0</v>
      </c>
      <c r="O309" s="75">
        <v>0</v>
      </c>
      <c r="P309" s="75">
        <f>N309+O309</f>
        <v>0</v>
      </c>
      <c r="Q309" s="75">
        <v>0</v>
      </c>
      <c r="R309" s="75">
        <f>P309+Q309</f>
        <v>0</v>
      </c>
      <c r="S309" s="75">
        <v>0</v>
      </c>
      <c r="T309" s="75">
        <v>0</v>
      </c>
      <c r="U309" s="75">
        <f>S309+T309</f>
        <v>0</v>
      </c>
    </row>
    <row r="310" spans="1:21" s="17" customFormat="1">
      <c r="A310" s="21" t="s">
        <v>128</v>
      </c>
      <c r="B310" s="22" t="s">
        <v>9</v>
      </c>
      <c r="C310" s="22" t="s">
        <v>107</v>
      </c>
      <c r="D310" s="22" t="s">
        <v>12</v>
      </c>
      <c r="E310" s="22" t="s">
        <v>203</v>
      </c>
      <c r="F310" s="48" t="s">
        <v>129</v>
      </c>
      <c r="G310" s="46">
        <f>5855757.93</f>
        <v>5855757.9299999997</v>
      </c>
      <c r="H310" s="46">
        <v>0</v>
      </c>
      <c r="I310" s="75">
        <f>G310+H310</f>
        <v>5855757.9299999997</v>
      </c>
      <c r="J310" s="46">
        <v>0</v>
      </c>
      <c r="K310" s="75">
        <f>I310+J310</f>
        <v>5855757.9299999997</v>
      </c>
      <c r="L310" s="46">
        <v>0</v>
      </c>
      <c r="M310" s="75">
        <f>K310+L310</f>
        <v>5855757.9299999997</v>
      </c>
      <c r="N310" s="46">
        <v>6031430.6699999999</v>
      </c>
      <c r="O310" s="46">
        <v>0</v>
      </c>
      <c r="P310" s="46">
        <f>N310+O310</f>
        <v>6031430.6699999999</v>
      </c>
      <c r="Q310" s="46">
        <v>0</v>
      </c>
      <c r="R310" s="46">
        <f>P310+Q310</f>
        <v>6031430.6699999999</v>
      </c>
      <c r="S310" s="46">
        <v>6031430.6699999999</v>
      </c>
      <c r="T310" s="46">
        <v>0</v>
      </c>
      <c r="U310" s="46">
        <f>S310+T310</f>
        <v>6031430.6699999999</v>
      </c>
    </row>
    <row r="311" spans="1:21" s="17" customFormat="1" ht="13.5">
      <c r="A311" s="18" t="s">
        <v>204</v>
      </c>
      <c r="B311" s="19" t="s">
        <v>9</v>
      </c>
      <c r="C311" s="19" t="s">
        <v>107</v>
      </c>
      <c r="D311" s="19" t="s">
        <v>12</v>
      </c>
      <c r="E311" s="19" t="s">
        <v>205</v>
      </c>
      <c r="F311" s="19" t="s">
        <v>0</v>
      </c>
      <c r="G311" s="33">
        <f t="shared" ref="G311:U311" si="352">G312</f>
        <v>18037745.600000001</v>
      </c>
      <c r="H311" s="33">
        <f t="shared" si="352"/>
        <v>1260515.1299999999</v>
      </c>
      <c r="I311" s="33">
        <f t="shared" si="352"/>
        <v>19298260.73</v>
      </c>
      <c r="J311" s="33">
        <f t="shared" si="352"/>
        <v>0</v>
      </c>
      <c r="K311" s="33">
        <f t="shared" si="352"/>
        <v>19298260.73</v>
      </c>
      <c r="L311" s="33">
        <f t="shared" si="352"/>
        <v>0</v>
      </c>
      <c r="M311" s="33">
        <f t="shared" si="352"/>
        <v>19298260.73</v>
      </c>
      <c r="N311" s="33">
        <f t="shared" si="352"/>
        <v>18557891.949999999</v>
      </c>
      <c r="O311" s="33">
        <f t="shared" si="352"/>
        <v>0</v>
      </c>
      <c r="P311" s="33">
        <f t="shared" si="352"/>
        <v>18557891.949999999</v>
      </c>
      <c r="Q311" s="33">
        <f t="shared" si="352"/>
        <v>0</v>
      </c>
      <c r="R311" s="33">
        <f t="shared" si="352"/>
        <v>18557891.949999999</v>
      </c>
      <c r="S311" s="33">
        <f t="shared" si="352"/>
        <v>18557891.949999999</v>
      </c>
      <c r="T311" s="33">
        <f t="shared" si="352"/>
        <v>0</v>
      </c>
      <c r="U311" s="33">
        <f t="shared" si="352"/>
        <v>18557891.949999999</v>
      </c>
    </row>
    <row r="312" spans="1:21" s="17" customFormat="1">
      <c r="A312" s="21" t="s">
        <v>21</v>
      </c>
      <c r="B312" s="22" t="s">
        <v>9</v>
      </c>
      <c r="C312" s="22" t="s">
        <v>107</v>
      </c>
      <c r="D312" s="22" t="s">
        <v>12</v>
      </c>
      <c r="E312" s="22" t="s">
        <v>205</v>
      </c>
      <c r="F312" s="22" t="s">
        <v>22</v>
      </c>
      <c r="G312" s="46">
        <v>18037745.600000001</v>
      </c>
      <c r="H312" s="46">
        <f>400000+551711.85+308803.28</f>
        <v>1260515.1299999999</v>
      </c>
      <c r="I312" s="46">
        <f>G312+H312</f>
        <v>19298260.73</v>
      </c>
      <c r="J312" s="46"/>
      <c r="K312" s="46">
        <f>I312+J312</f>
        <v>19298260.73</v>
      </c>
      <c r="L312" s="46"/>
      <c r="M312" s="46">
        <f>K312+L312</f>
        <v>19298260.73</v>
      </c>
      <c r="N312" s="46">
        <v>18557891.949999999</v>
      </c>
      <c r="O312" s="46">
        <v>0</v>
      </c>
      <c r="P312" s="46">
        <f>N312+O312</f>
        <v>18557891.949999999</v>
      </c>
      <c r="Q312" s="46">
        <v>0</v>
      </c>
      <c r="R312" s="46">
        <f>P312+Q312</f>
        <v>18557891.949999999</v>
      </c>
      <c r="S312" s="46">
        <v>18557891.949999999</v>
      </c>
      <c r="T312" s="46">
        <v>0</v>
      </c>
      <c r="U312" s="46">
        <f>S312+T312</f>
        <v>18557891.949999999</v>
      </c>
    </row>
    <row r="313" spans="1:21" s="17" customFormat="1" ht="13.5" customHeight="1">
      <c r="A313" s="18" t="s">
        <v>206</v>
      </c>
      <c r="B313" s="19" t="s">
        <v>9</v>
      </c>
      <c r="C313" s="19" t="s">
        <v>107</v>
      </c>
      <c r="D313" s="19" t="s">
        <v>12</v>
      </c>
      <c r="E313" s="19" t="s">
        <v>207</v>
      </c>
      <c r="F313" s="19" t="s">
        <v>0</v>
      </c>
      <c r="G313" s="33">
        <f t="shared" ref="G313:U313" si="353">G314+G315+G316</f>
        <v>23146729.629999999</v>
      </c>
      <c r="H313" s="33">
        <f t="shared" si="353"/>
        <v>11401949.98</v>
      </c>
      <c r="I313" s="33">
        <f t="shared" si="353"/>
        <v>34548679.609999999</v>
      </c>
      <c r="J313" s="33">
        <f t="shared" ref="J313:K313" si="354">J314+J315+J316</f>
        <v>14329563.689999999</v>
      </c>
      <c r="K313" s="33">
        <f t="shared" si="354"/>
        <v>48878243.299999997</v>
      </c>
      <c r="L313" s="33">
        <f t="shared" ref="L313:M313" si="355">L314+L315+L316</f>
        <v>1898598.1099999996</v>
      </c>
      <c r="M313" s="33">
        <f t="shared" si="355"/>
        <v>50776841.410000004</v>
      </c>
      <c r="N313" s="33">
        <f t="shared" si="353"/>
        <v>16261447.58</v>
      </c>
      <c r="O313" s="33">
        <f t="shared" si="353"/>
        <v>0</v>
      </c>
      <c r="P313" s="33">
        <f t="shared" si="353"/>
        <v>16261447.58</v>
      </c>
      <c r="Q313" s="33">
        <f t="shared" ref="Q313:R313" si="356">Q314+Q315+Q316</f>
        <v>0</v>
      </c>
      <c r="R313" s="33">
        <f t="shared" si="356"/>
        <v>16261447.58</v>
      </c>
      <c r="S313" s="33">
        <f t="shared" si="353"/>
        <v>16210642.1</v>
      </c>
      <c r="T313" s="33">
        <f t="shared" si="353"/>
        <v>0</v>
      </c>
      <c r="U313" s="33">
        <f t="shared" si="353"/>
        <v>16210642.1</v>
      </c>
    </row>
    <row r="314" spans="1:21" s="17" customFormat="1">
      <c r="A314" s="21" t="s">
        <v>21</v>
      </c>
      <c r="B314" s="22" t="s">
        <v>9</v>
      </c>
      <c r="C314" s="48" t="s">
        <v>107</v>
      </c>
      <c r="D314" s="48" t="s">
        <v>12</v>
      </c>
      <c r="E314" s="22" t="s">
        <v>207</v>
      </c>
      <c r="F314" s="22" t="s">
        <v>22</v>
      </c>
      <c r="G314" s="46">
        <v>9834130.4299999997</v>
      </c>
      <c r="H314" s="46">
        <f>2082503.89+990259.49+1000000+71443.8+51602+54900-94712.32-244252.8-662333.33-712426.43+14493.48+1700000+2000000+231057+1468304.4</f>
        <v>7950839.1799999997</v>
      </c>
      <c r="I314" s="46">
        <f>G314+H314</f>
        <v>17784969.609999999</v>
      </c>
      <c r="J314" s="46">
        <f>1000000-62041.76+766259.45+290000+103146+500000+14200</f>
        <v>2611563.69</v>
      </c>
      <c r="K314" s="46">
        <f>I314+J314</f>
        <v>20396533.300000001</v>
      </c>
      <c r="L314" s="46">
        <f>616353.51+220000</f>
        <v>836353.51</v>
      </c>
      <c r="M314" s="46">
        <f>K314+L314</f>
        <v>21232886.810000002</v>
      </c>
      <c r="N314" s="46">
        <v>14036596.470000001</v>
      </c>
      <c r="O314" s="46">
        <v>0</v>
      </c>
      <c r="P314" s="46">
        <f>N314+O314</f>
        <v>14036596.470000001</v>
      </c>
      <c r="Q314" s="46">
        <v>0</v>
      </c>
      <c r="R314" s="46">
        <f>P314+Q314</f>
        <v>14036596.470000001</v>
      </c>
      <c r="S314" s="46">
        <v>13979184.65</v>
      </c>
      <c r="T314" s="46">
        <v>0</v>
      </c>
      <c r="U314" s="46">
        <f>S314+T314</f>
        <v>13979184.65</v>
      </c>
    </row>
    <row r="315" spans="1:21" s="17" customFormat="1" outlineLevel="1">
      <c r="A315" s="21" t="s">
        <v>72</v>
      </c>
      <c r="B315" s="22" t="s">
        <v>9</v>
      </c>
      <c r="C315" s="22" t="s">
        <v>107</v>
      </c>
      <c r="D315" s="22" t="s">
        <v>12</v>
      </c>
      <c r="E315" s="22" t="s">
        <v>207</v>
      </c>
      <c r="F315" s="22" t="s">
        <v>73</v>
      </c>
      <c r="G315" s="46">
        <v>550000</v>
      </c>
      <c r="H315" s="46">
        <v>0</v>
      </c>
      <c r="I315" s="46">
        <f>G315+H315</f>
        <v>550000</v>
      </c>
      <c r="J315" s="46">
        <v>0</v>
      </c>
      <c r="K315" s="46">
        <f>I315+J315</f>
        <v>550000</v>
      </c>
      <c r="L315" s="46">
        <v>0</v>
      </c>
      <c r="M315" s="46">
        <f>K315+L315</f>
        <v>550000</v>
      </c>
      <c r="N315" s="46">
        <v>550000</v>
      </c>
      <c r="O315" s="46">
        <v>0</v>
      </c>
      <c r="P315" s="46">
        <f>N315+O315</f>
        <v>550000</v>
      </c>
      <c r="Q315" s="46">
        <v>0</v>
      </c>
      <c r="R315" s="46">
        <f>P315+Q315</f>
        <v>550000</v>
      </c>
      <c r="S315" s="46">
        <v>550000</v>
      </c>
      <c r="T315" s="46">
        <v>0</v>
      </c>
      <c r="U315" s="46">
        <f>S315+T315</f>
        <v>550000</v>
      </c>
    </row>
    <row r="316" spans="1:21" s="17" customFormat="1" ht="15" customHeight="1" outlineLevel="1">
      <c r="A316" s="21" t="s">
        <v>38</v>
      </c>
      <c r="B316" s="22" t="s">
        <v>9</v>
      </c>
      <c r="C316" s="22" t="s">
        <v>107</v>
      </c>
      <c r="D316" s="22" t="s">
        <v>12</v>
      </c>
      <c r="E316" s="22" t="s">
        <v>207</v>
      </c>
      <c r="F316" s="22" t="s">
        <v>39</v>
      </c>
      <c r="G316" s="46">
        <f>1664686.86+11097912.34</f>
        <v>12762599.199999999</v>
      </c>
      <c r="H316" s="46">
        <f>100000-83003.03-553353.51-1289982.89-8599885.9+567304.5+10820484.5-288319.94-1922132.93+4700000</f>
        <v>3451110.8</v>
      </c>
      <c r="I316" s="46">
        <f>G316+H316</f>
        <v>16213710</v>
      </c>
      <c r="J316" s="46">
        <v>11718000</v>
      </c>
      <c r="K316" s="46">
        <f>I316+J316</f>
        <v>27931710</v>
      </c>
      <c r="L316" s="46">
        <f>3700000-117048.93-2520706.47</f>
        <v>1062244.5999999996</v>
      </c>
      <c r="M316" s="46">
        <f>K316+L316</f>
        <v>28993954.600000001</v>
      </c>
      <c r="N316" s="46">
        <v>1674851.11</v>
      </c>
      <c r="O316" s="46">
        <v>0</v>
      </c>
      <c r="P316" s="46">
        <f>N316+O316</f>
        <v>1674851.11</v>
      </c>
      <c r="Q316" s="46">
        <v>0</v>
      </c>
      <c r="R316" s="46">
        <f>P316+Q316</f>
        <v>1674851.11</v>
      </c>
      <c r="S316" s="46">
        <v>1681457.45</v>
      </c>
      <c r="T316" s="46">
        <v>0</v>
      </c>
      <c r="U316" s="46">
        <f>S316+T316</f>
        <v>1681457.45</v>
      </c>
    </row>
    <row r="317" spans="1:21" s="17" customFormat="1" ht="28.5" customHeight="1" outlineLevel="1">
      <c r="A317" s="42" t="s">
        <v>284</v>
      </c>
      <c r="B317" s="19" t="s">
        <v>9</v>
      </c>
      <c r="C317" s="19" t="s">
        <v>107</v>
      </c>
      <c r="D317" s="19" t="s">
        <v>12</v>
      </c>
      <c r="E317" s="19" t="s">
        <v>285</v>
      </c>
      <c r="F317" s="19" t="s">
        <v>0</v>
      </c>
      <c r="G317" s="20">
        <f>G318</f>
        <v>0</v>
      </c>
      <c r="H317" s="20">
        <f>H318+H319</f>
        <v>22446827.469999999</v>
      </c>
      <c r="I317" s="20">
        <f t="shared" ref="I317:U317" si="357">I318+I319</f>
        <v>22446827.469999999</v>
      </c>
      <c r="J317" s="20">
        <f>J318+J319</f>
        <v>-659016.80000000005</v>
      </c>
      <c r="K317" s="20">
        <f t="shared" ref="K317" si="358">K318+K319</f>
        <v>21787810.670000002</v>
      </c>
      <c r="L317" s="20">
        <f>L318+L319</f>
        <v>-18918.36</v>
      </c>
      <c r="M317" s="20">
        <f t="shared" ref="M317" si="359">M318+M319</f>
        <v>21768892.310000002</v>
      </c>
      <c r="N317" s="20">
        <f t="shared" si="357"/>
        <v>0</v>
      </c>
      <c r="O317" s="20">
        <f t="shared" si="357"/>
        <v>0</v>
      </c>
      <c r="P317" s="20">
        <f t="shared" si="357"/>
        <v>0</v>
      </c>
      <c r="Q317" s="20">
        <f t="shared" ref="Q317:R317" si="360">Q318+Q319</f>
        <v>0</v>
      </c>
      <c r="R317" s="20">
        <f t="shared" si="360"/>
        <v>0</v>
      </c>
      <c r="S317" s="20">
        <f t="shared" si="357"/>
        <v>0</v>
      </c>
      <c r="T317" s="20">
        <f t="shared" si="357"/>
        <v>0</v>
      </c>
      <c r="U317" s="20">
        <f t="shared" si="357"/>
        <v>0</v>
      </c>
    </row>
    <row r="318" spans="1:21" s="17" customFormat="1" ht="15" customHeight="1" outlineLevel="1">
      <c r="A318" s="21" t="s">
        <v>21</v>
      </c>
      <c r="B318" s="48" t="s">
        <v>9</v>
      </c>
      <c r="C318" s="48" t="s">
        <v>107</v>
      </c>
      <c r="D318" s="48" t="s">
        <v>12</v>
      </c>
      <c r="E318" s="48" t="s">
        <v>285</v>
      </c>
      <c r="F318" s="48">
        <v>200</v>
      </c>
      <c r="G318" s="46">
        <v>0</v>
      </c>
      <c r="H318" s="46">
        <f>331038+19800000</f>
        <v>20131038</v>
      </c>
      <c r="I318" s="46">
        <f>G318+H318</f>
        <v>20131038</v>
      </c>
      <c r="J318" s="46">
        <v>406247</v>
      </c>
      <c r="K318" s="46">
        <f>I318+J318</f>
        <v>20537285</v>
      </c>
      <c r="L318" s="46">
        <v>-18918.36</v>
      </c>
      <c r="M318" s="46">
        <f>K318+L318</f>
        <v>20518366.640000001</v>
      </c>
      <c r="N318" s="46">
        <v>0</v>
      </c>
      <c r="O318" s="46">
        <v>0</v>
      </c>
      <c r="P318" s="46">
        <f>N318+O318</f>
        <v>0</v>
      </c>
      <c r="Q318" s="46">
        <v>0</v>
      </c>
      <c r="R318" s="46">
        <f>P318+Q318</f>
        <v>0</v>
      </c>
      <c r="S318" s="46">
        <v>0</v>
      </c>
      <c r="T318" s="46">
        <v>0</v>
      </c>
      <c r="U318" s="46">
        <f>S318+T318</f>
        <v>0</v>
      </c>
    </row>
    <row r="319" spans="1:21" s="17" customFormat="1" ht="15" customHeight="1" outlineLevel="1">
      <c r="A319" s="21" t="s">
        <v>38</v>
      </c>
      <c r="B319" s="48" t="s">
        <v>9</v>
      </c>
      <c r="C319" s="48" t="s">
        <v>107</v>
      </c>
      <c r="D319" s="48" t="s">
        <v>12</v>
      </c>
      <c r="E319" s="48" t="s">
        <v>285</v>
      </c>
      <c r="F319" s="48">
        <v>400</v>
      </c>
      <c r="G319" s="46">
        <v>0</v>
      </c>
      <c r="H319" s="46">
        <f>115789.47+2200000</f>
        <v>2315789.4700000002</v>
      </c>
      <c r="I319" s="46">
        <f>G319+H319</f>
        <v>2315789.4700000002</v>
      </c>
      <c r="J319" s="46">
        <f>-1012000.61-53263.19</f>
        <v>-1065263.8</v>
      </c>
      <c r="K319" s="46">
        <f>I319+J319</f>
        <v>1250525.6700000002</v>
      </c>
      <c r="L319" s="46">
        <v>0</v>
      </c>
      <c r="M319" s="46">
        <f>K319+L319</f>
        <v>1250525.6700000002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</row>
    <row r="320" spans="1:21" s="17" customFormat="1" ht="40.5" customHeight="1" outlineLevel="1">
      <c r="A320" s="18" t="s">
        <v>248</v>
      </c>
      <c r="B320" s="19" t="s">
        <v>9</v>
      </c>
      <c r="C320" s="19" t="s">
        <v>107</v>
      </c>
      <c r="D320" s="19" t="s">
        <v>12</v>
      </c>
      <c r="E320" s="43" t="s">
        <v>247</v>
      </c>
      <c r="F320" s="19" t="s">
        <v>0</v>
      </c>
      <c r="G320" s="33">
        <f>G321</f>
        <v>0</v>
      </c>
      <c r="H320" s="33">
        <f>H321</f>
        <v>0</v>
      </c>
      <c r="I320" s="33">
        <f t="shared" ref="I320:U320" si="361">I321</f>
        <v>0</v>
      </c>
      <c r="J320" s="33">
        <f>J321</f>
        <v>4500000</v>
      </c>
      <c r="K320" s="33">
        <f t="shared" si="361"/>
        <v>4500000</v>
      </c>
      <c r="L320" s="33">
        <f>L321</f>
        <v>0</v>
      </c>
      <c r="M320" s="33">
        <f t="shared" si="361"/>
        <v>4500000</v>
      </c>
      <c r="N320" s="33">
        <f t="shared" si="361"/>
        <v>0</v>
      </c>
      <c r="O320" s="33">
        <f t="shared" si="361"/>
        <v>0</v>
      </c>
      <c r="P320" s="33">
        <f t="shared" si="361"/>
        <v>0</v>
      </c>
      <c r="Q320" s="33">
        <f t="shared" si="361"/>
        <v>0</v>
      </c>
      <c r="R320" s="33">
        <f t="shared" si="361"/>
        <v>0</v>
      </c>
      <c r="S320" s="33">
        <f t="shared" si="361"/>
        <v>0</v>
      </c>
      <c r="T320" s="33">
        <f t="shared" si="361"/>
        <v>0</v>
      </c>
      <c r="U320" s="33">
        <f t="shared" si="361"/>
        <v>0</v>
      </c>
    </row>
    <row r="321" spans="1:21" s="17" customFormat="1" ht="15" customHeight="1" outlineLevel="1">
      <c r="A321" s="21" t="s">
        <v>21</v>
      </c>
      <c r="B321" s="22" t="s">
        <v>9</v>
      </c>
      <c r="C321" s="48" t="s">
        <v>107</v>
      </c>
      <c r="D321" s="48" t="s">
        <v>12</v>
      </c>
      <c r="E321" s="48" t="s">
        <v>247</v>
      </c>
      <c r="F321" s="22" t="s">
        <v>22</v>
      </c>
      <c r="G321" s="46">
        <v>0</v>
      </c>
      <c r="H321" s="46">
        <v>0</v>
      </c>
      <c r="I321" s="46">
        <f>G321+H321</f>
        <v>0</v>
      </c>
      <c r="J321" s="46">
        <v>4500000</v>
      </c>
      <c r="K321" s="46">
        <f>I321+J321</f>
        <v>4500000</v>
      </c>
      <c r="L321" s="46">
        <v>0</v>
      </c>
      <c r="M321" s="46">
        <f>K321+L321</f>
        <v>4500000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</row>
    <row r="322" spans="1:21" s="17" customFormat="1" ht="38.25" customHeight="1">
      <c r="A322" s="18" t="s">
        <v>231</v>
      </c>
      <c r="B322" s="19" t="s">
        <v>9</v>
      </c>
      <c r="C322" s="19" t="s">
        <v>107</v>
      </c>
      <c r="D322" s="19" t="s">
        <v>12</v>
      </c>
      <c r="E322" s="19" t="s">
        <v>208</v>
      </c>
      <c r="F322" s="19" t="s">
        <v>0</v>
      </c>
      <c r="G322" s="33">
        <f>G323</f>
        <v>1500000</v>
      </c>
      <c r="H322" s="33">
        <f>H323</f>
        <v>0</v>
      </c>
      <c r="I322" s="33">
        <f t="shared" ref="I322:U322" si="362">I323</f>
        <v>1500000</v>
      </c>
      <c r="J322" s="33">
        <f>J323</f>
        <v>255878.8</v>
      </c>
      <c r="K322" s="33">
        <f t="shared" si="362"/>
        <v>1755878.8</v>
      </c>
      <c r="L322" s="33">
        <f>L323</f>
        <v>0</v>
      </c>
      <c r="M322" s="33">
        <f t="shared" si="362"/>
        <v>1755878.8</v>
      </c>
      <c r="N322" s="33">
        <f t="shared" si="362"/>
        <v>1500000</v>
      </c>
      <c r="O322" s="33">
        <f t="shared" si="362"/>
        <v>0</v>
      </c>
      <c r="P322" s="33">
        <f t="shared" si="362"/>
        <v>1500000</v>
      </c>
      <c r="Q322" s="33">
        <f t="shared" si="362"/>
        <v>0</v>
      </c>
      <c r="R322" s="33">
        <f t="shared" si="362"/>
        <v>1500000</v>
      </c>
      <c r="S322" s="33">
        <f t="shared" si="362"/>
        <v>1500000</v>
      </c>
      <c r="T322" s="33">
        <f t="shared" si="362"/>
        <v>0</v>
      </c>
      <c r="U322" s="33">
        <f t="shared" si="362"/>
        <v>1500000</v>
      </c>
    </row>
    <row r="323" spans="1:21" s="17" customFormat="1">
      <c r="A323" s="21" t="s">
        <v>21</v>
      </c>
      <c r="B323" s="22" t="s">
        <v>9</v>
      </c>
      <c r="C323" s="22" t="s">
        <v>107</v>
      </c>
      <c r="D323" s="22" t="s">
        <v>12</v>
      </c>
      <c r="E323" s="22" t="s">
        <v>208</v>
      </c>
      <c r="F323" s="22" t="s">
        <v>22</v>
      </c>
      <c r="G323" s="46">
        <v>1500000</v>
      </c>
      <c r="H323" s="46">
        <v>0</v>
      </c>
      <c r="I323" s="46">
        <f>G323+H323</f>
        <v>1500000</v>
      </c>
      <c r="J323" s="46">
        <v>255878.8</v>
      </c>
      <c r="K323" s="46">
        <f>I323+J323</f>
        <v>1755878.8</v>
      </c>
      <c r="L323" s="46">
        <v>0</v>
      </c>
      <c r="M323" s="46">
        <f>K323+L323</f>
        <v>1755878.8</v>
      </c>
      <c r="N323" s="46">
        <v>1500000</v>
      </c>
      <c r="O323" s="46">
        <v>0</v>
      </c>
      <c r="P323" s="46">
        <f>N323+O323</f>
        <v>1500000</v>
      </c>
      <c r="Q323" s="46">
        <v>0</v>
      </c>
      <c r="R323" s="46">
        <f>P323+Q323</f>
        <v>1500000</v>
      </c>
      <c r="S323" s="46">
        <v>1500000</v>
      </c>
      <c r="T323" s="46">
        <v>0</v>
      </c>
      <c r="U323" s="46">
        <f>S323+T323</f>
        <v>1500000</v>
      </c>
    </row>
    <row r="324" spans="1:21" s="17" customFormat="1" ht="13.5">
      <c r="A324" s="18" t="s">
        <v>239</v>
      </c>
      <c r="B324" s="19" t="s">
        <v>9</v>
      </c>
      <c r="C324" s="19" t="s">
        <v>107</v>
      </c>
      <c r="D324" s="19" t="s">
        <v>12</v>
      </c>
      <c r="E324" s="19" t="s">
        <v>238</v>
      </c>
      <c r="F324" s="19" t="s">
        <v>0</v>
      </c>
      <c r="G324" s="33">
        <f t="shared" ref="G324:U324" si="363">G325</f>
        <v>5625000</v>
      </c>
      <c r="H324" s="33">
        <f t="shared" si="363"/>
        <v>0</v>
      </c>
      <c r="I324" s="33">
        <f t="shared" si="363"/>
        <v>5625000</v>
      </c>
      <c r="J324" s="33">
        <f t="shared" si="363"/>
        <v>0</v>
      </c>
      <c r="K324" s="33">
        <f t="shared" si="363"/>
        <v>5625000</v>
      </c>
      <c r="L324" s="33">
        <f t="shared" si="363"/>
        <v>0</v>
      </c>
      <c r="M324" s="33">
        <f t="shared" si="363"/>
        <v>5625000</v>
      </c>
      <c r="N324" s="33">
        <f t="shared" si="363"/>
        <v>1125000</v>
      </c>
      <c r="O324" s="33">
        <f t="shared" si="363"/>
        <v>0</v>
      </c>
      <c r="P324" s="33">
        <f t="shared" si="363"/>
        <v>1125000</v>
      </c>
      <c r="Q324" s="33">
        <f t="shared" si="363"/>
        <v>0</v>
      </c>
      <c r="R324" s="33">
        <f t="shared" si="363"/>
        <v>1125000</v>
      </c>
      <c r="S324" s="33">
        <f t="shared" si="363"/>
        <v>1125000</v>
      </c>
      <c r="T324" s="33">
        <f t="shared" si="363"/>
        <v>0</v>
      </c>
      <c r="U324" s="33">
        <f t="shared" si="363"/>
        <v>1125000</v>
      </c>
    </row>
    <row r="325" spans="1:21" s="17" customFormat="1">
      <c r="A325" s="21" t="s">
        <v>21</v>
      </c>
      <c r="B325" s="22" t="s">
        <v>9</v>
      </c>
      <c r="C325" s="22" t="s">
        <v>107</v>
      </c>
      <c r="D325" s="22" t="s">
        <v>12</v>
      </c>
      <c r="E325" s="22" t="s">
        <v>238</v>
      </c>
      <c r="F325" s="22" t="s">
        <v>22</v>
      </c>
      <c r="G325" s="46">
        <v>5625000</v>
      </c>
      <c r="H325" s="46">
        <v>0</v>
      </c>
      <c r="I325" s="46">
        <f>G325+H325</f>
        <v>5625000</v>
      </c>
      <c r="J325" s="46">
        <v>0</v>
      </c>
      <c r="K325" s="46">
        <f>I325+J325</f>
        <v>5625000</v>
      </c>
      <c r="L325" s="46">
        <v>0</v>
      </c>
      <c r="M325" s="46">
        <f>K325+L325</f>
        <v>5625000</v>
      </c>
      <c r="N325" s="46">
        <v>1125000</v>
      </c>
      <c r="O325" s="46">
        <v>0</v>
      </c>
      <c r="P325" s="46">
        <f>N325+O325</f>
        <v>1125000</v>
      </c>
      <c r="Q325" s="46">
        <v>0</v>
      </c>
      <c r="R325" s="46">
        <f>P325+Q325</f>
        <v>1125000</v>
      </c>
      <c r="S325" s="46">
        <v>1125000</v>
      </c>
      <c r="T325" s="46">
        <v>0</v>
      </c>
      <c r="U325" s="46">
        <f>S325+T325</f>
        <v>1125000</v>
      </c>
    </row>
    <row r="326" spans="1:21" s="17" customFormat="1" ht="15" customHeight="1">
      <c r="A326" s="18" t="s">
        <v>244</v>
      </c>
      <c r="B326" s="19" t="s">
        <v>9</v>
      </c>
      <c r="C326" s="19" t="s">
        <v>107</v>
      </c>
      <c r="D326" s="19" t="s">
        <v>12</v>
      </c>
      <c r="E326" s="19" t="s">
        <v>243</v>
      </c>
      <c r="F326" s="19" t="s">
        <v>0</v>
      </c>
      <c r="G326" s="33">
        <f t="shared" ref="G326:U326" si="364">G327</f>
        <v>0</v>
      </c>
      <c r="H326" s="33">
        <f t="shared" si="364"/>
        <v>0</v>
      </c>
      <c r="I326" s="33">
        <f t="shared" si="364"/>
        <v>0</v>
      </c>
      <c r="J326" s="33">
        <f t="shared" si="364"/>
        <v>0</v>
      </c>
      <c r="K326" s="33">
        <f t="shared" si="364"/>
        <v>0</v>
      </c>
      <c r="L326" s="33">
        <f t="shared" si="364"/>
        <v>0</v>
      </c>
      <c r="M326" s="33">
        <f t="shared" si="364"/>
        <v>0</v>
      </c>
      <c r="N326" s="33">
        <f t="shared" si="364"/>
        <v>0</v>
      </c>
      <c r="O326" s="33">
        <f t="shared" si="364"/>
        <v>0</v>
      </c>
      <c r="P326" s="33">
        <f t="shared" si="364"/>
        <v>0</v>
      </c>
      <c r="Q326" s="33">
        <f t="shared" si="364"/>
        <v>0</v>
      </c>
      <c r="R326" s="33">
        <f t="shared" si="364"/>
        <v>0</v>
      </c>
      <c r="S326" s="33">
        <f t="shared" si="364"/>
        <v>0</v>
      </c>
      <c r="T326" s="33">
        <f t="shared" si="364"/>
        <v>0</v>
      </c>
      <c r="U326" s="33">
        <f t="shared" si="364"/>
        <v>0</v>
      </c>
    </row>
    <row r="327" spans="1:21" s="17" customFormat="1">
      <c r="A327" s="21" t="s">
        <v>21</v>
      </c>
      <c r="B327" s="22" t="s">
        <v>9</v>
      </c>
      <c r="C327" s="22" t="s">
        <v>107</v>
      </c>
      <c r="D327" s="22" t="s">
        <v>12</v>
      </c>
      <c r="E327" s="22" t="s">
        <v>243</v>
      </c>
      <c r="F327" s="22" t="s">
        <v>22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f>N327+O327</f>
        <v>0</v>
      </c>
      <c r="Q327" s="46">
        <v>0</v>
      </c>
      <c r="R327" s="46">
        <f>P327+Q327</f>
        <v>0</v>
      </c>
      <c r="S327" s="46">
        <v>0</v>
      </c>
      <c r="T327" s="46">
        <v>0</v>
      </c>
      <c r="U327" s="46">
        <f>S327+T327</f>
        <v>0</v>
      </c>
    </row>
    <row r="328" spans="1:21" s="17" customFormat="1">
      <c r="A328" s="14" t="s">
        <v>209</v>
      </c>
      <c r="B328" s="15" t="s">
        <v>9</v>
      </c>
      <c r="C328" s="15" t="s">
        <v>107</v>
      </c>
      <c r="D328" s="15" t="s">
        <v>107</v>
      </c>
      <c r="E328" s="15" t="s">
        <v>0</v>
      </c>
      <c r="F328" s="15" t="s">
        <v>0</v>
      </c>
      <c r="G328" s="52">
        <f t="shared" ref="G328:M330" si="365">G329</f>
        <v>54638550.450000003</v>
      </c>
      <c r="H328" s="52">
        <f t="shared" si="365"/>
        <v>159908.20000000001</v>
      </c>
      <c r="I328" s="52">
        <f t="shared" si="365"/>
        <v>54798458.649999999</v>
      </c>
      <c r="J328" s="52">
        <f t="shared" si="365"/>
        <v>27900</v>
      </c>
      <c r="K328" s="52">
        <f t="shared" si="365"/>
        <v>54826358.649999999</v>
      </c>
      <c r="L328" s="52">
        <f t="shared" si="365"/>
        <v>0</v>
      </c>
      <c r="M328" s="52">
        <f t="shared" si="365"/>
        <v>54826358.649999999</v>
      </c>
      <c r="N328" s="52">
        <f t="shared" ref="N328:U330" si="366">N329</f>
        <v>56277707.299999997</v>
      </c>
      <c r="O328" s="52">
        <f t="shared" si="366"/>
        <v>0</v>
      </c>
      <c r="P328" s="52">
        <f t="shared" si="366"/>
        <v>56277707.299999997</v>
      </c>
      <c r="Q328" s="52">
        <f t="shared" si="366"/>
        <v>0</v>
      </c>
      <c r="R328" s="52">
        <f t="shared" si="366"/>
        <v>56277707.299999997</v>
      </c>
      <c r="S328" s="52">
        <f t="shared" si="366"/>
        <v>57966038.519999996</v>
      </c>
      <c r="T328" s="52">
        <f t="shared" si="366"/>
        <v>0</v>
      </c>
      <c r="U328" s="52">
        <f t="shared" si="366"/>
        <v>57966038.519999996</v>
      </c>
    </row>
    <row r="329" spans="1:21" s="17" customFormat="1">
      <c r="A329" s="14" t="s">
        <v>166</v>
      </c>
      <c r="B329" s="15" t="s">
        <v>9</v>
      </c>
      <c r="C329" s="15" t="s">
        <v>107</v>
      </c>
      <c r="D329" s="15" t="s">
        <v>107</v>
      </c>
      <c r="E329" s="15" t="s">
        <v>167</v>
      </c>
      <c r="F329" s="15" t="s">
        <v>0</v>
      </c>
      <c r="G329" s="52">
        <f t="shared" si="365"/>
        <v>54638550.450000003</v>
      </c>
      <c r="H329" s="52">
        <f t="shared" si="365"/>
        <v>159908.20000000001</v>
      </c>
      <c r="I329" s="52">
        <f t="shared" si="365"/>
        <v>54798458.649999999</v>
      </c>
      <c r="J329" s="52">
        <f t="shared" si="365"/>
        <v>27900</v>
      </c>
      <c r="K329" s="52">
        <f t="shared" si="365"/>
        <v>54826358.649999999</v>
      </c>
      <c r="L329" s="52">
        <f t="shared" si="365"/>
        <v>0</v>
      </c>
      <c r="M329" s="52">
        <f t="shared" si="365"/>
        <v>54826358.649999999</v>
      </c>
      <c r="N329" s="52">
        <f t="shared" si="366"/>
        <v>56277707.299999997</v>
      </c>
      <c r="O329" s="52">
        <f t="shared" si="366"/>
        <v>0</v>
      </c>
      <c r="P329" s="52">
        <f t="shared" si="366"/>
        <v>56277707.299999997</v>
      </c>
      <c r="Q329" s="52">
        <f t="shared" si="366"/>
        <v>0</v>
      </c>
      <c r="R329" s="52">
        <f t="shared" si="366"/>
        <v>56277707.299999997</v>
      </c>
      <c r="S329" s="52">
        <f t="shared" si="366"/>
        <v>57966038.519999996</v>
      </c>
      <c r="T329" s="52">
        <f t="shared" si="366"/>
        <v>0</v>
      </c>
      <c r="U329" s="52">
        <f t="shared" si="366"/>
        <v>57966038.519999996</v>
      </c>
    </row>
    <row r="330" spans="1:21" s="17" customFormat="1">
      <c r="A330" s="14" t="s">
        <v>210</v>
      </c>
      <c r="B330" s="15" t="s">
        <v>9</v>
      </c>
      <c r="C330" s="15" t="s">
        <v>107</v>
      </c>
      <c r="D330" s="15" t="s">
        <v>107</v>
      </c>
      <c r="E330" s="15" t="s">
        <v>211</v>
      </c>
      <c r="F330" s="15" t="s">
        <v>0</v>
      </c>
      <c r="G330" s="52">
        <f t="shared" si="365"/>
        <v>54638550.450000003</v>
      </c>
      <c r="H330" s="52">
        <f t="shared" si="365"/>
        <v>159908.20000000001</v>
      </c>
      <c r="I330" s="52">
        <f t="shared" si="365"/>
        <v>54798458.649999999</v>
      </c>
      <c r="J330" s="52">
        <f t="shared" si="365"/>
        <v>27900</v>
      </c>
      <c r="K330" s="52">
        <f t="shared" si="365"/>
        <v>54826358.649999999</v>
      </c>
      <c r="L330" s="52">
        <f t="shared" si="365"/>
        <v>0</v>
      </c>
      <c r="M330" s="52">
        <f t="shared" si="365"/>
        <v>54826358.649999999</v>
      </c>
      <c r="N330" s="52">
        <f t="shared" si="366"/>
        <v>56277707.299999997</v>
      </c>
      <c r="O330" s="52">
        <f t="shared" si="366"/>
        <v>0</v>
      </c>
      <c r="P330" s="52">
        <f t="shared" si="366"/>
        <v>56277707.299999997</v>
      </c>
      <c r="Q330" s="52">
        <f t="shared" si="366"/>
        <v>0</v>
      </c>
      <c r="R330" s="52">
        <f t="shared" si="366"/>
        <v>56277707.299999997</v>
      </c>
      <c r="S330" s="52">
        <f t="shared" si="366"/>
        <v>57966038.519999996</v>
      </c>
      <c r="T330" s="52">
        <f t="shared" si="366"/>
        <v>0</v>
      </c>
      <c r="U330" s="52">
        <f t="shared" si="366"/>
        <v>57966038.519999996</v>
      </c>
    </row>
    <row r="331" spans="1:21" s="17" customFormat="1" ht="27">
      <c r="A331" s="18" t="s">
        <v>124</v>
      </c>
      <c r="B331" s="19" t="s">
        <v>9</v>
      </c>
      <c r="C331" s="19" t="s">
        <v>107</v>
      </c>
      <c r="D331" s="19" t="s">
        <v>107</v>
      </c>
      <c r="E331" s="19" t="s">
        <v>212</v>
      </c>
      <c r="F331" s="19" t="s">
        <v>0</v>
      </c>
      <c r="G331" s="33">
        <f t="shared" ref="G331:U331" si="367">G332+G334+G333+G335</f>
        <v>54638550.450000003</v>
      </c>
      <c r="H331" s="33">
        <f t="shared" si="367"/>
        <v>159908.20000000001</v>
      </c>
      <c r="I331" s="33">
        <f t="shared" si="367"/>
        <v>54798458.649999999</v>
      </c>
      <c r="J331" s="33">
        <f t="shared" ref="J331:K331" si="368">J332+J334+J333+J335</f>
        <v>27900</v>
      </c>
      <c r="K331" s="33">
        <f t="shared" si="368"/>
        <v>54826358.649999999</v>
      </c>
      <c r="L331" s="33">
        <f t="shared" ref="L331:M331" si="369">L332+L334+L333+L335</f>
        <v>0</v>
      </c>
      <c r="M331" s="33">
        <f t="shared" si="369"/>
        <v>54826358.649999999</v>
      </c>
      <c r="N331" s="33">
        <f t="shared" si="367"/>
        <v>56277707.299999997</v>
      </c>
      <c r="O331" s="33">
        <f t="shared" si="367"/>
        <v>0</v>
      </c>
      <c r="P331" s="33">
        <f t="shared" si="367"/>
        <v>56277707.299999997</v>
      </c>
      <c r="Q331" s="33">
        <f t="shared" ref="Q331:R331" si="370">Q332+Q334+Q333+Q335</f>
        <v>0</v>
      </c>
      <c r="R331" s="33">
        <f t="shared" si="370"/>
        <v>56277707.299999997</v>
      </c>
      <c r="S331" s="33">
        <f t="shared" si="367"/>
        <v>57966038.519999996</v>
      </c>
      <c r="T331" s="33">
        <f t="shared" si="367"/>
        <v>0</v>
      </c>
      <c r="U331" s="33">
        <f t="shared" si="367"/>
        <v>57966038.519999996</v>
      </c>
    </row>
    <row r="332" spans="1:21" s="17" customFormat="1">
      <c r="A332" s="21" t="s">
        <v>19</v>
      </c>
      <c r="B332" s="22" t="s">
        <v>9</v>
      </c>
      <c r="C332" s="22" t="s">
        <v>107</v>
      </c>
      <c r="D332" s="22" t="s">
        <v>107</v>
      </c>
      <c r="E332" s="22" t="s">
        <v>212</v>
      </c>
      <c r="F332" s="22" t="s">
        <v>20</v>
      </c>
      <c r="G332" s="46">
        <v>49939853</v>
      </c>
      <c r="H332" s="46">
        <v>0</v>
      </c>
      <c r="I332" s="46">
        <f>G332+H332</f>
        <v>49939853</v>
      </c>
      <c r="J332" s="46">
        <v>0</v>
      </c>
      <c r="K332" s="46">
        <f>I332+J332</f>
        <v>49939853</v>
      </c>
      <c r="L332" s="46">
        <v>0</v>
      </c>
      <c r="M332" s="46">
        <f>K332+L332</f>
        <v>49939853</v>
      </c>
      <c r="N332" s="46">
        <v>51435947</v>
      </c>
      <c r="O332" s="46">
        <v>0</v>
      </c>
      <c r="P332" s="46">
        <f>N332+O332</f>
        <v>51435947</v>
      </c>
      <c r="Q332" s="46">
        <v>0</v>
      </c>
      <c r="R332" s="46">
        <f>P332+Q332</f>
        <v>51435947</v>
      </c>
      <c r="S332" s="46">
        <v>52979025</v>
      </c>
      <c r="T332" s="46">
        <v>0</v>
      </c>
      <c r="U332" s="46">
        <f>S332+T332</f>
        <v>52979025</v>
      </c>
    </row>
    <row r="333" spans="1:21" s="17" customFormat="1">
      <c r="A333" s="21" t="s">
        <v>21</v>
      </c>
      <c r="B333" s="22" t="s">
        <v>9</v>
      </c>
      <c r="C333" s="22" t="s">
        <v>107</v>
      </c>
      <c r="D333" s="22" t="s">
        <v>107</v>
      </c>
      <c r="E333" s="22" t="s">
        <v>212</v>
      </c>
      <c r="F333" s="22" t="s">
        <v>22</v>
      </c>
      <c r="G333" s="46">
        <v>4347219.45</v>
      </c>
      <c r="H333" s="46">
        <f>15391.41+23747.74+42237.5+6488+25475+12416.27+5400+45580+5767.89+22984.39</f>
        <v>205488.2</v>
      </c>
      <c r="I333" s="46">
        <f t="shared" ref="I333:I335" si="371">G333+H333</f>
        <v>4552707.6500000004</v>
      </c>
      <c r="J333" s="46">
        <v>27900</v>
      </c>
      <c r="K333" s="46">
        <f t="shared" ref="K333:K335" si="372">I333+J333</f>
        <v>4580607.6500000004</v>
      </c>
      <c r="L333" s="46">
        <v>0</v>
      </c>
      <c r="M333" s="46">
        <f t="shared" ref="M333:M335" si="373">K333+L333</f>
        <v>4580607.6500000004</v>
      </c>
      <c r="N333" s="46">
        <v>4408698.3</v>
      </c>
      <c r="O333" s="46">
        <v>0</v>
      </c>
      <c r="P333" s="46">
        <f>N333+O333</f>
        <v>4408698.3</v>
      </c>
      <c r="Q333" s="46">
        <v>0</v>
      </c>
      <c r="R333" s="46">
        <f>P333+Q333</f>
        <v>4408698.3</v>
      </c>
      <c r="S333" s="46">
        <v>4540959.5199999996</v>
      </c>
      <c r="T333" s="46">
        <v>0</v>
      </c>
      <c r="U333" s="46">
        <f>S333+T333</f>
        <v>4540959.5199999996</v>
      </c>
    </row>
    <row r="334" spans="1:21" s="17" customFormat="1" hidden="1" outlineLevel="1">
      <c r="A334" s="21" t="s">
        <v>72</v>
      </c>
      <c r="B334" s="22" t="s">
        <v>9</v>
      </c>
      <c r="C334" s="22" t="s">
        <v>107</v>
      </c>
      <c r="D334" s="22" t="s">
        <v>107</v>
      </c>
      <c r="E334" s="22" t="s">
        <v>212</v>
      </c>
      <c r="F334" s="22" t="s">
        <v>73</v>
      </c>
      <c r="G334" s="46">
        <v>0</v>
      </c>
      <c r="H334" s="46">
        <v>0</v>
      </c>
      <c r="I334" s="46">
        <f t="shared" si="371"/>
        <v>0</v>
      </c>
      <c r="J334" s="46">
        <v>0</v>
      </c>
      <c r="K334" s="46">
        <f t="shared" si="372"/>
        <v>0</v>
      </c>
      <c r="L334" s="46">
        <v>0</v>
      </c>
      <c r="M334" s="46">
        <f t="shared" si="373"/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</row>
    <row r="335" spans="1:21" s="17" customFormat="1" collapsed="1">
      <c r="A335" s="21" t="s">
        <v>40</v>
      </c>
      <c r="B335" s="22" t="s">
        <v>9</v>
      </c>
      <c r="C335" s="22" t="s">
        <v>107</v>
      </c>
      <c r="D335" s="22" t="s">
        <v>107</v>
      </c>
      <c r="E335" s="22" t="s">
        <v>212</v>
      </c>
      <c r="F335" s="22" t="s">
        <v>41</v>
      </c>
      <c r="G335" s="46">
        <v>351478</v>
      </c>
      <c r="H335" s="46">
        <v>-45580</v>
      </c>
      <c r="I335" s="46">
        <f t="shared" si="371"/>
        <v>305898</v>
      </c>
      <c r="J335" s="46">
        <v>0</v>
      </c>
      <c r="K335" s="46">
        <f t="shared" si="372"/>
        <v>305898</v>
      </c>
      <c r="L335" s="46">
        <v>0</v>
      </c>
      <c r="M335" s="46">
        <f t="shared" si="373"/>
        <v>305898</v>
      </c>
      <c r="N335" s="46">
        <v>433062</v>
      </c>
      <c r="O335" s="46">
        <v>0</v>
      </c>
      <c r="P335" s="46">
        <f>N335+O335</f>
        <v>433062</v>
      </c>
      <c r="Q335" s="46">
        <v>0</v>
      </c>
      <c r="R335" s="46">
        <f>P335+Q335</f>
        <v>433062</v>
      </c>
      <c r="S335" s="46">
        <v>446054</v>
      </c>
      <c r="T335" s="46">
        <v>0</v>
      </c>
      <c r="U335" s="46">
        <f>S335+T335</f>
        <v>446054</v>
      </c>
    </row>
    <row r="336" spans="1:21" s="17" customFormat="1"/>
  </sheetData>
  <mergeCells count="3">
    <mergeCell ref="A3:S3"/>
    <mergeCell ref="A2:U2"/>
    <mergeCell ref="A4:U4"/>
  </mergeCells>
  <phoneticPr fontId="16" type="noConversion"/>
  <pageMargins left="0.78740157480314965" right="0" top="0.39370078740157483" bottom="0.39370078740157483" header="0.31496062992125984" footer="0.31496062992125984"/>
  <pageSetup paperSize="9" scale="48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</vt:lpstr>
      <vt:lpstr>Ведомств.!Область_печати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Юрьевна Сиухина</dc:creator>
  <cp:lastModifiedBy>Анна Пальчикова</cp:lastModifiedBy>
  <cp:lastPrinted>2022-08-29T01:01:49Z</cp:lastPrinted>
  <dcterms:created xsi:type="dcterms:W3CDTF">2006-09-16T00:00:00Z</dcterms:created>
  <dcterms:modified xsi:type="dcterms:W3CDTF">2022-08-29T01:02:09Z</dcterms:modified>
</cp:coreProperties>
</file>