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N:\САЙТ\2023\УЭиФ\Бюджет\2023 год\"/>
    </mc:Choice>
  </mc:AlternateContent>
  <xr:revisionPtr revIDLastSave="0" documentId="8_{D3C649DF-E3DE-4128-98BD-89A21B97F5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ы 1" sheetId="8" r:id="rId1"/>
    <sheet name="Програм 2" sheetId="10" r:id="rId2"/>
    <sheet name="Непрограм 3" sheetId="11" r:id="rId3"/>
    <sheet name="По разделам 4" sheetId="9" r:id="rId4"/>
    <sheet name="Ведомств 5" sheetId="12" r:id="rId5"/>
    <sheet name="МБТ 6" sheetId="13" r:id="rId6"/>
    <sheet name="Источники 7" sheetId="14" r:id="rId7"/>
  </sheets>
  <definedNames>
    <definedName name="_xlnm.Print_Area" localSheetId="4">'Ведомств 5'!$A$1:$Q$289</definedName>
    <definedName name="_xlnm.Print_Area" localSheetId="0">'Доходы 1'!$A$1:$M$71</definedName>
    <definedName name="_xlnm.Print_Area" localSheetId="6">'Источники 7'!$A$1:$E$16</definedName>
    <definedName name="_xlnm.Print_Area" localSheetId="3">'По разделам 4'!$A$1:$P$258</definedName>
    <definedName name="_xlnm.Print_Area" localSheetId="1">'Програм 2'!$A$1:$N$158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" i="9" l="1"/>
  <c r="I113" i="9"/>
  <c r="J268" i="12" l="1"/>
  <c r="J269" i="12"/>
  <c r="J270" i="12"/>
  <c r="J260" i="12"/>
  <c r="J250" i="12"/>
  <c r="J249" i="12" s="1"/>
  <c r="J242" i="12"/>
  <c r="J243" i="12"/>
  <c r="J241" i="12"/>
  <c r="J221" i="12"/>
  <c r="J217" i="12"/>
  <c r="J212" i="12"/>
  <c r="J206" i="12"/>
  <c r="J204" i="12"/>
  <c r="G205" i="12"/>
  <c r="H205" i="12"/>
  <c r="J205" i="12"/>
  <c r="L205" i="12"/>
  <c r="M205" i="12"/>
  <c r="O205" i="12"/>
  <c r="P205" i="12"/>
  <c r="I206" i="12"/>
  <c r="K206" i="12" s="1"/>
  <c r="K205" i="12" s="1"/>
  <c r="N206" i="12"/>
  <c r="N205" i="12" s="1"/>
  <c r="Q206" i="12"/>
  <c r="Q205" i="12" s="1"/>
  <c r="G203" i="12"/>
  <c r="G202" i="12" s="1"/>
  <c r="G201" i="12" s="1"/>
  <c r="G200" i="12" s="1"/>
  <c r="G199" i="12" s="1"/>
  <c r="H203" i="12"/>
  <c r="J203" i="12"/>
  <c r="L203" i="12"/>
  <c r="L202" i="12" s="1"/>
  <c r="L201" i="12" s="1"/>
  <c r="L200" i="12" s="1"/>
  <c r="L199" i="12" s="1"/>
  <c r="M203" i="12"/>
  <c r="M202" i="12" s="1"/>
  <c r="M201" i="12" s="1"/>
  <c r="M200" i="12" s="1"/>
  <c r="M199" i="12" s="1"/>
  <c r="O203" i="12"/>
  <c r="P203" i="12"/>
  <c r="I204" i="12"/>
  <c r="K204" i="12" s="1"/>
  <c r="K203" i="12" s="1"/>
  <c r="N204" i="12"/>
  <c r="N203" i="12" s="1"/>
  <c r="Q204" i="12"/>
  <c r="Q203" i="12" s="1"/>
  <c r="J197" i="12"/>
  <c r="J194" i="12" s="1"/>
  <c r="J193" i="12" s="1"/>
  <c r="J192" i="12" s="1"/>
  <c r="J191" i="12" s="1"/>
  <c r="J190" i="12" s="1"/>
  <c r="J189" i="12" s="1"/>
  <c r="J104" i="12"/>
  <c r="J103" i="12" s="1"/>
  <c r="J102" i="12" s="1"/>
  <c r="J101" i="12" s="1"/>
  <c r="J95" i="12"/>
  <c r="J94" i="12" s="1"/>
  <c r="J93" i="12" s="1"/>
  <c r="J92" i="12" s="1"/>
  <c r="J91" i="12" s="1"/>
  <c r="P76" i="12"/>
  <c r="P75" i="12" s="1"/>
  <c r="P74" i="12" s="1"/>
  <c r="P73" i="12" s="1"/>
  <c r="P72" i="12" s="1"/>
  <c r="M76" i="12"/>
  <c r="M75" i="12" s="1"/>
  <c r="M74" i="12" s="1"/>
  <c r="M73" i="12" s="1"/>
  <c r="M72" i="12" s="1"/>
  <c r="J89" i="12"/>
  <c r="J87" i="12"/>
  <c r="H86" i="12"/>
  <c r="L86" i="12"/>
  <c r="M86" i="12"/>
  <c r="O86" i="12"/>
  <c r="P86" i="12"/>
  <c r="G86" i="12"/>
  <c r="I87" i="12"/>
  <c r="N87" i="12"/>
  <c r="Q87" i="12"/>
  <c r="J85" i="12"/>
  <c r="J66" i="12"/>
  <c r="J67" i="12"/>
  <c r="J65" i="12"/>
  <c r="J37" i="12"/>
  <c r="J38" i="12"/>
  <c r="J25" i="12"/>
  <c r="Q287" i="12"/>
  <c r="Q286" i="12"/>
  <c r="Q285" i="12"/>
  <c r="Q284" i="12"/>
  <c r="P283" i="12"/>
  <c r="P282" i="12" s="1"/>
  <c r="P281" i="12" s="1"/>
  <c r="P280" i="12" s="1"/>
  <c r="Q279" i="12"/>
  <c r="Q278" i="12" s="1"/>
  <c r="P278" i="12"/>
  <c r="Q277" i="12"/>
  <c r="Q276" i="12" s="1"/>
  <c r="P276" i="12"/>
  <c r="Q275" i="12"/>
  <c r="Q274" i="12" s="1"/>
  <c r="P274" i="12"/>
  <c r="Q273" i="12"/>
  <c r="Q272" i="12"/>
  <c r="P271" i="12"/>
  <c r="Q270" i="12"/>
  <c r="Q269" i="12"/>
  <c r="Q268" i="12"/>
  <c r="Q267" i="12"/>
  <c r="P266" i="12"/>
  <c r="Q265" i="12"/>
  <c r="Q264" i="12" s="1"/>
  <c r="P264" i="12"/>
  <c r="Q263" i="12"/>
  <c r="Q262" i="12"/>
  <c r="P261" i="12"/>
  <c r="Q260" i="12"/>
  <c r="Q259" i="12" s="1"/>
  <c r="P259" i="12"/>
  <c r="Q258" i="12"/>
  <c r="Q257" i="12" s="1"/>
  <c r="P257" i="12"/>
  <c r="Q255" i="12"/>
  <c r="Q254" i="12" s="1"/>
  <c r="Q253" i="12" s="1"/>
  <c r="P254" i="12"/>
  <c r="P253" i="12" s="1"/>
  <c r="Q250" i="12"/>
  <c r="Q249" i="12" s="1"/>
  <c r="P249" i="12"/>
  <c r="Q248" i="12"/>
  <c r="Q247" i="12"/>
  <c r="P246" i="12"/>
  <c r="Q245" i="12"/>
  <c r="Q244" i="12" s="1"/>
  <c r="P244" i="12"/>
  <c r="Q243" i="12"/>
  <c r="Q242" i="12"/>
  <c r="Q241" i="12"/>
  <c r="P240" i="12"/>
  <c r="Q235" i="12"/>
  <c r="Q234" i="12" s="1"/>
  <c r="P234" i="12"/>
  <c r="Q232" i="12"/>
  <c r="Q231" i="12" s="1"/>
  <c r="P231" i="12"/>
  <c r="Q230" i="12"/>
  <c r="Q229" i="12" s="1"/>
  <c r="P229" i="12"/>
  <c r="Q223" i="12"/>
  <c r="P223" i="12"/>
  <c r="Q222" i="12"/>
  <c r="Q221" i="12"/>
  <c r="P220" i="12"/>
  <c r="Q217" i="12"/>
  <c r="Q216" i="12" s="1"/>
  <c r="Q215" i="12" s="1"/>
  <c r="Q214" i="12" s="1"/>
  <c r="P216" i="12"/>
  <c r="P215" i="12" s="1"/>
  <c r="P214" i="12" s="1"/>
  <c r="Q212" i="12"/>
  <c r="Q211" i="12" s="1"/>
  <c r="Q210" i="12" s="1"/>
  <c r="Q209" i="12" s="1"/>
  <c r="Q208" i="12" s="1"/>
  <c r="P211" i="12"/>
  <c r="P210" i="12" s="1"/>
  <c r="P209" i="12" s="1"/>
  <c r="P208" i="12" s="1"/>
  <c r="Q197" i="12"/>
  <c r="Q196" i="12"/>
  <c r="Q195" i="12"/>
  <c r="P194" i="12"/>
  <c r="P193" i="12" s="1"/>
  <c r="P192" i="12" s="1"/>
  <c r="P191" i="12" s="1"/>
  <c r="P190" i="12" s="1"/>
  <c r="P189" i="12" s="1"/>
  <c r="Q188" i="12"/>
  <c r="Q187" i="12" s="1"/>
  <c r="Q186" i="12" s="1"/>
  <c r="Q185" i="12" s="1"/>
  <c r="Q184" i="12" s="1"/>
  <c r="Q183" i="12" s="1"/>
  <c r="P187" i="12"/>
  <c r="P186" i="12" s="1"/>
  <c r="P185" i="12" s="1"/>
  <c r="P184" i="12" s="1"/>
  <c r="P183" i="12" s="1"/>
  <c r="Q182" i="12"/>
  <c r="Q181" i="12" s="1"/>
  <c r="Q180" i="12" s="1"/>
  <c r="Q179" i="12" s="1"/>
  <c r="Q178" i="12" s="1"/>
  <c r="Q177" i="12" s="1"/>
  <c r="P181" i="12"/>
  <c r="P180" i="12" s="1"/>
  <c r="P179" i="12" s="1"/>
  <c r="P178" i="12" s="1"/>
  <c r="P177" i="12" s="1"/>
  <c r="Q176" i="12"/>
  <c r="Q175" i="12" s="1"/>
  <c r="Q174" i="12" s="1"/>
  <c r="Q173" i="12" s="1"/>
  <c r="Q172" i="12" s="1"/>
  <c r="Q171" i="12" s="1"/>
  <c r="P175" i="12"/>
  <c r="P174" i="12" s="1"/>
  <c r="P173" i="12" s="1"/>
  <c r="P172" i="12" s="1"/>
  <c r="P171" i="12" s="1"/>
  <c r="Q170" i="12"/>
  <c r="Q169" i="12"/>
  <c r="Q168" i="12"/>
  <c r="P167" i="12"/>
  <c r="P166" i="12" s="1"/>
  <c r="Q165" i="12"/>
  <c r="Q164" i="12"/>
  <c r="P163" i="12"/>
  <c r="Q162" i="12"/>
  <c r="Q161" i="12"/>
  <c r="P160" i="12"/>
  <c r="Q159" i="12"/>
  <c r="Q158" i="12" s="1"/>
  <c r="P158" i="12"/>
  <c r="Q154" i="12"/>
  <c r="Q153" i="12" s="1"/>
  <c r="P153" i="12"/>
  <c r="Q152" i="12"/>
  <c r="Q151" i="12"/>
  <c r="P150" i="12"/>
  <c r="Q149" i="12"/>
  <c r="Q148" i="12"/>
  <c r="P147" i="12"/>
  <c r="Q143" i="12"/>
  <c r="Q142" i="12" s="1"/>
  <c r="Q141" i="12" s="1"/>
  <c r="Q140" i="12" s="1"/>
  <c r="Q139" i="12" s="1"/>
  <c r="P142" i="12"/>
  <c r="P141" i="12" s="1"/>
  <c r="P140" i="12" s="1"/>
  <c r="P139" i="12" s="1"/>
  <c r="Q137" i="12"/>
  <c r="Q136" i="12" s="1"/>
  <c r="Q135" i="12" s="1"/>
  <c r="Q134" i="12" s="1"/>
  <c r="Q133" i="12" s="1"/>
  <c r="Q132" i="12" s="1"/>
  <c r="P136" i="12"/>
  <c r="P135" i="12" s="1"/>
  <c r="P134" i="12" s="1"/>
  <c r="P133" i="12" s="1"/>
  <c r="P132" i="12" s="1"/>
  <c r="Q131" i="12"/>
  <c r="Q130" i="12" s="1"/>
  <c r="Q129" i="12" s="1"/>
  <c r="Q128" i="12" s="1"/>
  <c r="Q127" i="12" s="1"/>
  <c r="Q126" i="12" s="1"/>
  <c r="P130" i="12"/>
  <c r="P129" i="12" s="1"/>
  <c r="P128" i="12" s="1"/>
  <c r="P127" i="12" s="1"/>
  <c r="P126" i="12" s="1"/>
  <c r="Q125" i="12"/>
  <c r="Q124" i="12" s="1"/>
  <c r="Q123" i="12" s="1"/>
  <c r="Q122" i="12" s="1"/>
  <c r="Q121" i="12" s="1"/>
  <c r="Q120" i="12" s="1"/>
  <c r="P124" i="12"/>
  <c r="P123" i="12" s="1"/>
  <c r="P122" i="12" s="1"/>
  <c r="P121" i="12" s="1"/>
  <c r="P120" i="12" s="1"/>
  <c r="Q118" i="12"/>
  <c r="Q117" i="12"/>
  <c r="P116" i="12"/>
  <c r="P115" i="12" s="1"/>
  <c r="P114" i="12" s="1"/>
  <c r="P113" i="12" s="1"/>
  <c r="Q111" i="12"/>
  <c r="Q110" i="12" s="1"/>
  <c r="P110" i="12"/>
  <c r="Q109" i="12"/>
  <c r="Q108" i="12"/>
  <c r="P107" i="12"/>
  <c r="Q104" i="12"/>
  <c r="Q103" i="12" s="1"/>
  <c r="Q102" i="12" s="1"/>
  <c r="Q101" i="12" s="1"/>
  <c r="P103" i="12"/>
  <c r="P102" i="12" s="1"/>
  <c r="P101" i="12" s="1"/>
  <c r="Q99" i="12"/>
  <c r="Q98" i="12" s="1"/>
  <c r="Q97" i="12" s="1"/>
  <c r="P99" i="12"/>
  <c r="P98" i="12" s="1"/>
  <c r="P97" i="12" s="1"/>
  <c r="Q95" i="12"/>
  <c r="Q94" i="12" s="1"/>
  <c r="Q93" i="12" s="1"/>
  <c r="Q92" i="12" s="1"/>
  <c r="Q91" i="12" s="1"/>
  <c r="P94" i="12"/>
  <c r="P93" i="12" s="1"/>
  <c r="P92" i="12" s="1"/>
  <c r="P91" i="12" s="1"/>
  <c r="Q89" i="12"/>
  <c r="Q88" i="12"/>
  <c r="Q85" i="12"/>
  <c r="Q84" i="12"/>
  <c r="P83" i="12"/>
  <c r="Q82" i="12"/>
  <c r="Q81" i="12" s="1"/>
  <c r="P81" i="12"/>
  <c r="Q77" i="12"/>
  <c r="Q70" i="12"/>
  <c r="Q69" i="12" s="1"/>
  <c r="Q68" i="12" s="1"/>
  <c r="P69" i="12"/>
  <c r="P68" i="12" s="1"/>
  <c r="Q67" i="12"/>
  <c r="Q66" i="12"/>
  <c r="Q65" i="12"/>
  <c r="P64" i="12"/>
  <c r="Q63" i="12"/>
  <c r="Q62" i="12" s="1"/>
  <c r="P62" i="12"/>
  <c r="Q59" i="12"/>
  <c r="Q58" i="12" s="1"/>
  <c r="P58" i="12"/>
  <c r="Q57" i="12"/>
  <c r="Q56" i="12"/>
  <c r="P55" i="12"/>
  <c r="Q54" i="12"/>
  <c r="Q53" i="12" s="1"/>
  <c r="P53" i="12"/>
  <c r="Q52" i="12"/>
  <c r="Q51" i="12" s="1"/>
  <c r="P51" i="12"/>
  <c r="Q50" i="12"/>
  <c r="Q49" i="12" s="1"/>
  <c r="P49" i="12"/>
  <c r="Q45" i="12"/>
  <c r="Q44" i="12" s="1"/>
  <c r="P44" i="12"/>
  <c r="Q43" i="12"/>
  <c r="Q42" i="12" s="1"/>
  <c r="P42" i="12"/>
  <c r="Q38" i="12"/>
  <c r="Q36" i="12"/>
  <c r="Q35" i="12"/>
  <c r="P34" i="12"/>
  <c r="P33" i="12" s="1"/>
  <c r="P32" i="12" s="1"/>
  <c r="Q31" i="12"/>
  <c r="Q30" i="12"/>
  <c r="P29" i="12"/>
  <c r="P28" i="12" s="1"/>
  <c r="P27" i="12" s="1"/>
  <c r="Q25" i="12"/>
  <c r="Q24" i="12"/>
  <c r="P23" i="12"/>
  <c r="P22" i="12" s="1"/>
  <c r="P21" i="12" s="1"/>
  <c r="P20" i="12" s="1"/>
  <c r="Q17" i="12"/>
  <c r="Q16" i="12"/>
  <c r="P15" i="12"/>
  <c r="Q14" i="12"/>
  <c r="Q13" i="12"/>
  <c r="P12" i="12"/>
  <c r="N287" i="12"/>
  <c r="N286" i="12"/>
  <c r="N285" i="12"/>
  <c r="N284" i="12"/>
  <c r="M283" i="12"/>
  <c r="M282" i="12" s="1"/>
  <c r="M281" i="12" s="1"/>
  <c r="M280" i="12" s="1"/>
  <c r="N279" i="12"/>
  <c r="N278" i="12" s="1"/>
  <c r="M278" i="12"/>
  <c r="N277" i="12"/>
  <c r="N276" i="12" s="1"/>
  <c r="M276" i="12"/>
  <c r="N275" i="12"/>
  <c r="N274" i="12" s="1"/>
  <c r="M274" i="12"/>
  <c r="N273" i="12"/>
  <c r="N272" i="12"/>
  <c r="M271" i="12"/>
  <c r="N270" i="12"/>
  <c r="N269" i="12"/>
  <c r="N268" i="12"/>
  <c r="N267" i="12"/>
  <c r="M266" i="12"/>
  <c r="N265" i="12"/>
  <c r="N264" i="12" s="1"/>
  <c r="M264" i="12"/>
  <c r="N263" i="12"/>
  <c r="N262" i="12"/>
  <c r="M261" i="12"/>
  <c r="N260" i="12"/>
  <c r="N259" i="12" s="1"/>
  <c r="M259" i="12"/>
  <c r="N258" i="12"/>
  <c r="N257" i="12" s="1"/>
  <c r="M257" i="12"/>
  <c r="N255" i="12"/>
  <c r="N254" i="12" s="1"/>
  <c r="N253" i="12" s="1"/>
  <c r="M254" i="12"/>
  <c r="M253" i="12" s="1"/>
  <c r="N250" i="12"/>
  <c r="N249" i="12" s="1"/>
  <c r="M249" i="12"/>
  <c r="N248" i="12"/>
  <c r="N247" i="12"/>
  <c r="M246" i="12"/>
  <c r="N245" i="12"/>
  <c r="N244" i="12" s="1"/>
  <c r="M244" i="12"/>
  <c r="N243" i="12"/>
  <c r="N242" i="12"/>
  <c r="N241" i="12"/>
  <c r="M240" i="12"/>
  <c r="N235" i="12"/>
  <c r="N234" i="12" s="1"/>
  <c r="M234" i="12"/>
  <c r="N232" i="12"/>
  <c r="N231" i="12" s="1"/>
  <c r="M231" i="12"/>
  <c r="N230" i="12"/>
  <c r="N229" i="12" s="1"/>
  <c r="M229" i="12"/>
  <c r="N223" i="12"/>
  <c r="M223" i="12"/>
  <c r="N222" i="12"/>
  <c r="N221" i="12"/>
  <c r="M220" i="12"/>
  <c r="N217" i="12"/>
  <c r="N216" i="12" s="1"/>
  <c r="N215" i="12" s="1"/>
  <c r="N214" i="12" s="1"/>
  <c r="M216" i="12"/>
  <c r="M215" i="12" s="1"/>
  <c r="M214" i="12" s="1"/>
  <c r="N212" i="12"/>
  <c r="N211" i="12" s="1"/>
  <c r="N210" i="12" s="1"/>
  <c r="N209" i="12" s="1"/>
  <c r="N208" i="12" s="1"/>
  <c r="M211" i="12"/>
  <c r="M210" i="12" s="1"/>
  <c r="M209" i="12" s="1"/>
  <c r="M208" i="12" s="1"/>
  <c r="N197" i="12"/>
  <c r="N196" i="12"/>
  <c r="N195" i="12"/>
  <c r="M194" i="12"/>
  <c r="M193" i="12" s="1"/>
  <c r="M192" i="12" s="1"/>
  <c r="M191" i="12" s="1"/>
  <c r="M190" i="12" s="1"/>
  <c r="M189" i="12" s="1"/>
  <c r="N188" i="12"/>
  <c r="N187" i="12" s="1"/>
  <c r="N186" i="12" s="1"/>
  <c r="N185" i="12" s="1"/>
  <c r="N184" i="12" s="1"/>
  <c r="N183" i="12" s="1"/>
  <c r="M187" i="12"/>
  <c r="M186" i="12" s="1"/>
  <c r="M185" i="12" s="1"/>
  <c r="M184" i="12" s="1"/>
  <c r="M183" i="12" s="1"/>
  <c r="N182" i="12"/>
  <c r="N181" i="12" s="1"/>
  <c r="N180" i="12" s="1"/>
  <c r="N179" i="12" s="1"/>
  <c r="N178" i="12" s="1"/>
  <c r="N177" i="12" s="1"/>
  <c r="M181" i="12"/>
  <c r="M180" i="12" s="1"/>
  <c r="M179" i="12" s="1"/>
  <c r="M178" i="12" s="1"/>
  <c r="M177" i="12" s="1"/>
  <c r="N176" i="12"/>
  <c r="N175" i="12" s="1"/>
  <c r="N174" i="12" s="1"/>
  <c r="N173" i="12" s="1"/>
  <c r="N172" i="12" s="1"/>
  <c r="N171" i="12" s="1"/>
  <c r="M175" i="12"/>
  <c r="M174" i="12" s="1"/>
  <c r="M173" i="12" s="1"/>
  <c r="M172" i="12" s="1"/>
  <c r="M171" i="12" s="1"/>
  <c r="N170" i="12"/>
  <c r="N169" i="12"/>
  <c r="N168" i="12"/>
  <c r="M167" i="12"/>
  <c r="M166" i="12" s="1"/>
  <c r="N165" i="12"/>
  <c r="N164" i="12"/>
  <c r="M163" i="12"/>
  <c r="N162" i="12"/>
  <c r="N161" i="12"/>
  <c r="M160" i="12"/>
  <c r="N159" i="12"/>
  <c r="N158" i="12" s="1"/>
  <c r="M158" i="12"/>
  <c r="N154" i="12"/>
  <c r="N153" i="12" s="1"/>
  <c r="M153" i="12"/>
  <c r="N152" i="12"/>
  <c r="N151" i="12"/>
  <c r="M150" i="12"/>
  <c r="N149" i="12"/>
  <c r="N148" i="12"/>
  <c r="M147" i="12"/>
  <c r="N143" i="12"/>
  <c r="N142" i="12" s="1"/>
  <c r="N141" i="12" s="1"/>
  <c r="N140" i="12" s="1"/>
  <c r="N139" i="12" s="1"/>
  <c r="M142" i="12"/>
  <c r="M141" i="12" s="1"/>
  <c r="M140" i="12" s="1"/>
  <c r="M139" i="12" s="1"/>
  <c r="N137" i="12"/>
  <c r="N136" i="12" s="1"/>
  <c r="N135" i="12" s="1"/>
  <c r="N134" i="12" s="1"/>
  <c r="N133" i="12" s="1"/>
  <c r="N132" i="12" s="1"/>
  <c r="M136" i="12"/>
  <c r="M135" i="12" s="1"/>
  <c r="M134" i="12" s="1"/>
  <c r="M133" i="12" s="1"/>
  <c r="M132" i="12" s="1"/>
  <c r="N131" i="12"/>
  <c r="N130" i="12" s="1"/>
  <c r="N129" i="12" s="1"/>
  <c r="N128" i="12" s="1"/>
  <c r="N127" i="12" s="1"/>
  <c r="N126" i="12" s="1"/>
  <c r="M130" i="12"/>
  <c r="M129" i="12" s="1"/>
  <c r="M128" i="12" s="1"/>
  <c r="M127" i="12" s="1"/>
  <c r="M126" i="12" s="1"/>
  <c r="N125" i="12"/>
  <c r="N124" i="12" s="1"/>
  <c r="N123" i="12" s="1"/>
  <c r="N122" i="12" s="1"/>
  <c r="N121" i="12" s="1"/>
  <c r="N120" i="12" s="1"/>
  <c r="M124" i="12"/>
  <c r="M123" i="12" s="1"/>
  <c r="M122" i="12" s="1"/>
  <c r="M121" i="12" s="1"/>
  <c r="M120" i="12" s="1"/>
  <c r="N118" i="12"/>
  <c r="N117" i="12"/>
  <c r="M116" i="12"/>
  <c r="M115" i="12" s="1"/>
  <c r="M114" i="12" s="1"/>
  <c r="M113" i="12" s="1"/>
  <c r="N111" i="12"/>
  <c r="N110" i="12" s="1"/>
  <c r="M110" i="12"/>
  <c r="N109" i="12"/>
  <c r="N108" i="12"/>
  <c r="N107" i="12" s="1"/>
  <c r="M107" i="12"/>
  <c r="N104" i="12"/>
  <c r="N103" i="12" s="1"/>
  <c r="N102" i="12" s="1"/>
  <c r="N101" i="12" s="1"/>
  <c r="M103" i="12"/>
  <c r="M102" i="12"/>
  <c r="M101" i="12" s="1"/>
  <c r="N99" i="12"/>
  <c r="N98" i="12" s="1"/>
  <c r="N97" i="12" s="1"/>
  <c r="M99" i="12"/>
  <c r="M98" i="12" s="1"/>
  <c r="M97" i="12" s="1"/>
  <c r="N95" i="12"/>
  <c r="N94" i="12"/>
  <c r="N93" i="12" s="1"/>
  <c r="N92" i="12" s="1"/>
  <c r="N91" i="12" s="1"/>
  <c r="M94" i="12"/>
  <c r="M93" i="12" s="1"/>
  <c r="M92" i="12" s="1"/>
  <c r="M91" i="12" s="1"/>
  <c r="N89" i="12"/>
  <c r="N88" i="12"/>
  <c r="N85" i="12"/>
  <c r="N84" i="12"/>
  <c r="M83" i="12"/>
  <c r="N82" i="12"/>
  <c r="N81" i="12" s="1"/>
  <c r="M81" i="12"/>
  <c r="N77" i="12"/>
  <c r="N70" i="12"/>
  <c r="N69" i="12" s="1"/>
  <c r="N68" i="12" s="1"/>
  <c r="M69" i="12"/>
  <c r="M68" i="12" s="1"/>
  <c r="N67" i="12"/>
  <c r="N66" i="12"/>
  <c r="N65" i="12"/>
  <c r="M64" i="12"/>
  <c r="N63" i="12"/>
  <c r="N62" i="12" s="1"/>
  <c r="M62" i="12"/>
  <c r="N59" i="12"/>
  <c r="N58" i="12" s="1"/>
  <c r="M58" i="12"/>
  <c r="N57" i="12"/>
  <c r="N56" i="12"/>
  <c r="M55" i="12"/>
  <c r="N54" i="12"/>
  <c r="N53" i="12" s="1"/>
  <c r="M53" i="12"/>
  <c r="N52" i="12"/>
  <c r="N51" i="12" s="1"/>
  <c r="M51" i="12"/>
  <c r="N50" i="12"/>
  <c r="N49" i="12"/>
  <c r="M49" i="12"/>
  <c r="N45" i="12"/>
  <c r="N44" i="12" s="1"/>
  <c r="M44" i="12"/>
  <c r="N43" i="12"/>
  <c r="N42" i="12" s="1"/>
  <c r="M42" i="12"/>
  <c r="N38" i="12"/>
  <c r="N36" i="12"/>
  <c r="N35" i="12"/>
  <c r="M34" i="12"/>
  <c r="M33" i="12" s="1"/>
  <c r="M32" i="12" s="1"/>
  <c r="N31" i="12"/>
  <c r="N30" i="12"/>
  <c r="M29" i="12"/>
  <c r="M28" i="12" s="1"/>
  <c r="M27" i="12" s="1"/>
  <c r="N25" i="12"/>
  <c r="N24" i="12"/>
  <c r="M23" i="12"/>
  <c r="M22" i="12" s="1"/>
  <c r="M21" i="12" s="1"/>
  <c r="M20" i="12" s="1"/>
  <c r="N17" i="12"/>
  <c r="N16" i="12"/>
  <c r="M15" i="12"/>
  <c r="N14" i="12"/>
  <c r="N13" i="12"/>
  <c r="M12" i="12"/>
  <c r="L246" i="12"/>
  <c r="L244" i="12" s="1"/>
  <c r="O246" i="12"/>
  <c r="O244" i="12" s="1"/>
  <c r="G246" i="12"/>
  <c r="B12" i="13"/>
  <c r="B8" i="13"/>
  <c r="B9" i="13"/>
  <c r="B10" i="13"/>
  <c r="J278" i="12"/>
  <c r="J264" i="12"/>
  <c r="J261" i="12"/>
  <c r="J259" i="12"/>
  <c r="J257" i="12"/>
  <c r="J254" i="12"/>
  <c r="J253" i="12" s="1"/>
  <c r="J244" i="12"/>
  <c r="J231" i="12"/>
  <c r="J229" i="12"/>
  <c r="K223" i="12"/>
  <c r="J223" i="12"/>
  <c r="J220" i="12"/>
  <c r="J216" i="12"/>
  <c r="J215" i="12" s="1"/>
  <c r="J214" i="12" s="1"/>
  <c r="J211" i="12"/>
  <c r="J210" i="12" s="1"/>
  <c r="J209" i="12" s="1"/>
  <c r="J208" i="12" s="1"/>
  <c r="J187" i="12"/>
  <c r="J186" i="12" s="1"/>
  <c r="J185" i="12" s="1"/>
  <c r="J184" i="12" s="1"/>
  <c r="J183" i="12" s="1"/>
  <c r="J181" i="12"/>
  <c r="J180" i="12" s="1"/>
  <c r="J179" i="12" s="1"/>
  <c r="J178" i="12" s="1"/>
  <c r="J177" i="12" s="1"/>
  <c r="J175" i="12"/>
  <c r="J174" i="12" s="1"/>
  <c r="J173" i="12" s="1"/>
  <c r="J172" i="12" s="1"/>
  <c r="J171" i="12" s="1"/>
  <c r="J167" i="12"/>
  <c r="J166" i="12" s="1"/>
  <c r="J163" i="12"/>
  <c r="J158" i="12"/>
  <c r="J153" i="12"/>
  <c r="J150" i="12"/>
  <c r="J147" i="12"/>
  <c r="J142" i="12"/>
  <c r="J141" i="12" s="1"/>
  <c r="J140" i="12" s="1"/>
  <c r="J139" i="12" s="1"/>
  <c r="J136" i="12"/>
  <c r="J135" i="12" s="1"/>
  <c r="J134" i="12" s="1"/>
  <c r="J133" i="12" s="1"/>
  <c r="J132" i="12" s="1"/>
  <c r="J130" i="12"/>
  <c r="J129" i="12" s="1"/>
  <c r="J128" i="12" s="1"/>
  <c r="J127" i="12" s="1"/>
  <c r="J126" i="12" s="1"/>
  <c r="J116" i="12"/>
  <c r="J115" i="12" s="1"/>
  <c r="J114" i="12" s="1"/>
  <c r="J113" i="12" s="1"/>
  <c r="J110" i="12"/>
  <c r="J107" i="12"/>
  <c r="K99" i="12"/>
  <c r="K98" i="12" s="1"/>
  <c r="K97" i="12" s="1"/>
  <c r="J99" i="12"/>
  <c r="J98" i="12" s="1"/>
  <c r="J97" i="12" s="1"/>
  <c r="J81" i="12"/>
  <c r="J69" i="12"/>
  <c r="J68" i="12" s="1"/>
  <c r="J58" i="12"/>
  <c r="J55" i="12"/>
  <c r="J53" i="12"/>
  <c r="J51" i="12"/>
  <c r="J49" i="12"/>
  <c r="J44" i="12"/>
  <c r="J29" i="12"/>
  <c r="J28" i="12" s="1"/>
  <c r="J27" i="12" s="1"/>
  <c r="J15" i="12"/>
  <c r="J12" i="12"/>
  <c r="I287" i="12"/>
  <c r="K287" i="12" s="1"/>
  <c r="I286" i="12"/>
  <c r="K286" i="12" s="1"/>
  <c r="I285" i="12"/>
  <c r="I284" i="12"/>
  <c r="O283" i="12"/>
  <c r="O282" i="12" s="1"/>
  <c r="O281" i="12" s="1"/>
  <c r="O280" i="12" s="1"/>
  <c r="L283" i="12"/>
  <c r="L282" i="12" s="1"/>
  <c r="L281" i="12" s="1"/>
  <c r="L280" i="12" s="1"/>
  <c r="H283" i="12"/>
  <c r="H282" i="12" s="1"/>
  <c r="H281" i="12" s="1"/>
  <c r="H280" i="12" s="1"/>
  <c r="G283" i="12"/>
  <c r="G282" i="12" s="1"/>
  <c r="G281" i="12" s="1"/>
  <c r="G280" i="12" s="1"/>
  <c r="H279" i="12"/>
  <c r="I279" i="12" s="1"/>
  <c r="O278" i="12"/>
  <c r="L278" i="12"/>
  <c r="G278" i="12"/>
  <c r="I277" i="12"/>
  <c r="I276" i="12" s="1"/>
  <c r="O276" i="12"/>
  <c r="L276" i="12"/>
  <c r="H276" i="12"/>
  <c r="G276" i="12"/>
  <c r="I275" i="12"/>
  <c r="O274" i="12"/>
  <c r="L274" i="12"/>
  <c r="H274" i="12"/>
  <c r="G274" i="12"/>
  <c r="I273" i="12"/>
  <c r="H272" i="12"/>
  <c r="I272" i="12" s="1"/>
  <c r="O271" i="12"/>
  <c r="L271" i="12"/>
  <c r="G271" i="12"/>
  <c r="I270" i="12"/>
  <c r="I269" i="12"/>
  <c r="I268" i="12"/>
  <c r="I267" i="12"/>
  <c r="O266" i="12"/>
  <c r="L266" i="12"/>
  <c r="H266" i="12"/>
  <c r="G266" i="12"/>
  <c r="H265" i="12"/>
  <c r="I265" i="12" s="1"/>
  <c r="I264" i="12" s="1"/>
  <c r="O264" i="12"/>
  <c r="L264" i="12"/>
  <c r="G264" i="12"/>
  <c r="I263" i="12"/>
  <c r="I262" i="12"/>
  <c r="O261" i="12"/>
  <c r="L261" i="12"/>
  <c r="H261" i="12"/>
  <c r="G261" i="12"/>
  <c r="I260" i="12"/>
  <c r="I259" i="12" s="1"/>
  <c r="O259" i="12"/>
  <c r="L259" i="12"/>
  <c r="H259" i="12"/>
  <c r="G259" i="12"/>
  <c r="I258" i="12"/>
  <c r="O257" i="12"/>
  <c r="L257" i="12"/>
  <c r="H257" i="12"/>
  <c r="G257" i="12"/>
  <c r="I255" i="12"/>
  <c r="I254" i="12" s="1"/>
  <c r="O254" i="12"/>
  <c r="L254" i="12"/>
  <c r="L253" i="12" s="1"/>
  <c r="H254" i="12"/>
  <c r="H253" i="12" s="1"/>
  <c r="G254" i="12"/>
  <c r="G253" i="12" s="1"/>
  <c r="O253" i="12"/>
  <c r="I250" i="12"/>
  <c r="O249" i="12"/>
  <c r="L249" i="12"/>
  <c r="H249" i="12"/>
  <c r="G249" i="12"/>
  <c r="H248" i="12"/>
  <c r="H246" i="12" s="1"/>
  <c r="I247" i="12"/>
  <c r="K247" i="12" s="1"/>
  <c r="I245" i="12"/>
  <c r="H244" i="12"/>
  <c r="G244" i="12"/>
  <c r="I243" i="12"/>
  <c r="I242" i="12"/>
  <c r="K242" i="12" s="1"/>
  <c r="I241" i="12"/>
  <c r="O240" i="12"/>
  <c r="L240" i="12"/>
  <c r="H240" i="12"/>
  <c r="G240" i="12"/>
  <c r="I235" i="12"/>
  <c r="O234" i="12"/>
  <c r="L234" i="12"/>
  <c r="H234" i="12"/>
  <c r="G234" i="12"/>
  <c r="H232" i="12"/>
  <c r="I232" i="12" s="1"/>
  <c r="O231" i="12"/>
  <c r="L231" i="12"/>
  <c r="G231" i="12"/>
  <c r="I230" i="12"/>
  <c r="O229" i="12"/>
  <c r="L229" i="12"/>
  <c r="H229" i="12"/>
  <c r="G229" i="12"/>
  <c r="O223" i="12"/>
  <c r="L223" i="12"/>
  <c r="I223" i="12"/>
  <c r="H223" i="12"/>
  <c r="G223" i="12"/>
  <c r="I222" i="12"/>
  <c r="K222" i="12" s="1"/>
  <c r="I221" i="12"/>
  <c r="O220" i="12"/>
  <c r="L220" i="12"/>
  <c r="H220" i="12"/>
  <c r="G220" i="12"/>
  <c r="H217" i="12"/>
  <c r="O216" i="12"/>
  <c r="O215" i="12" s="1"/>
  <c r="O214" i="12" s="1"/>
  <c r="L216" i="12"/>
  <c r="L215" i="12" s="1"/>
  <c r="L214" i="12" s="1"/>
  <c r="G216" i="12"/>
  <c r="G215" i="12" s="1"/>
  <c r="G214" i="12" s="1"/>
  <c r="I212" i="12"/>
  <c r="K212" i="12" s="1"/>
  <c r="K211" i="12" s="1"/>
  <c r="K210" i="12" s="1"/>
  <c r="K209" i="12" s="1"/>
  <c r="K208" i="12" s="1"/>
  <c r="O211" i="12"/>
  <c r="O210" i="12" s="1"/>
  <c r="O209" i="12" s="1"/>
  <c r="O208" i="12" s="1"/>
  <c r="L211" i="12"/>
  <c r="L210" i="12" s="1"/>
  <c r="L209" i="12" s="1"/>
  <c r="L208" i="12" s="1"/>
  <c r="H211" i="12"/>
  <c r="H210" i="12" s="1"/>
  <c r="H209" i="12" s="1"/>
  <c r="H208" i="12" s="1"/>
  <c r="G211" i="12"/>
  <c r="G210" i="12" s="1"/>
  <c r="G209" i="12" s="1"/>
  <c r="G208" i="12" s="1"/>
  <c r="I197" i="12"/>
  <c r="I196" i="12"/>
  <c r="K196" i="12" s="1"/>
  <c r="I195" i="12"/>
  <c r="O194" i="12"/>
  <c r="L194" i="12"/>
  <c r="L193" i="12" s="1"/>
  <c r="L192" i="12" s="1"/>
  <c r="L191" i="12" s="1"/>
  <c r="L190" i="12" s="1"/>
  <c r="L189" i="12" s="1"/>
  <c r="H194" i="12"/>
  <c r="H193" i="12" s="1"/>
  <c r="H192" i="12" s="1"/>
  <c r="H191" i="12" s="1"/>
  <c r="H190" i="12" s="1"/>
  <c r="H189" i="12" s="1"/>
  <c r="G194" i="12"/>
  <c r="G193" i="12" s="1"/>
  <c r="G192" i="12" s="1"/>
  <c r="G191" i="12" s="1"/>
  <c r="G190" i="12" s="1"/>
  <c r="G189" i="12" s="1"/>
  <c r="O193" i="12"/>
  <c r="O192" i="12" s="1"/>
  <c r="O191" i="12" s="1"/>
  <c r="O190" i="12" s="1"/>
  <c r="O189" i="12" s="1"/>
  <c r="I188" i="12"/>
  <c r="K188" i="12" s="1"/>
  <c r="K187" i="12" s="1"/>
  <c r="K186" i="12" s="1"/>
  <c r="K185" i="12" s="1"/>
  <c r="K184" i="12" s="1"/>
  <c r="K183" i="12" s="1"/>
  <c r="O187" i="12"/>
  <c r="O186" i="12" s="1"/>
  <c r="O185" i="12" s="1"/>
  <c r="O184" i="12" s="1"/>
  <c r="O183" i="12" s="1"/>
  <c r="L187" i="12"/>
  <c r="L186" i="12" s="1"/>
  <c r="L185" i="12" s="1"/>
  <c r="L184" i="12" s="1"/>
  <c r="L183" i="12" s="1"/>
  <c r="H187" i="12"/>
  <c r="H186" i="12" s="1"/>
  <c r="H185" i="12" s="1"/>
  <c r="H184" i="12" s="1"/>
  <c r="H183" i="12" s="1"/>
  <c r="G187" i="12"/>
  <c r="G186" i="12" s="1"/>
  <c r="G185" i="12" s="1"/>
  <c r="G184" i="12" s="1"/>
  <c r="G183" i="12" s="1"/>
  <c r="I182" i="12"/>
  <c r="K182" i="12" s="1"/>
  <c r="K181" i="12" s="1"/>
  <c r="K180" i="12" s="1"/>
  <c r="K179" i="12" s="1"/>
  <c r="K178" i="12" s="1"/>
  <c r="K177" i="12" s="1"/>
  <c r="O181" i="12"/>
  <c r="O180" i="12" s="1"/>
  <c r="O179" i="12" s="1"/>
  <c r="O178" i="12" s="1"/>
  <c r="O177" i="12" s="1"/>
  <c r="L181" i="12"/>
  <c r="L180" i="12" s="1"/>
  <c r="L179" i="12" s="1"/>
  <c r="L178" i="12" s="1"/>
  <c r="L177" i="12" s="1"/>
  <c r="H181" i="12"/>
  <c r="H180" i="12" s="1"/>
  <c r="H179" i="12" s="1"/>
  <c r="H178" i="12" s="1"/>
  <c r="H177" i="12" s="1"/>
  <c r="G181" i="12"/>
  <c r="G180" i="12" s="1"/>
  <c r="G179" i="12" s="1"/>
  <c r="G178" i="12" s="1"/>
  <c r="G177" i="12" s="1"/>
  <c r="I176" i="12"/>
  <c r="O175" i="12"/>
  <c r="O174" i="12" s="1"/>
  <c r="O173" i="12" s="1"/>
  <c r="O172" i="12" s="1"/>
  <c r="O171" i="12" s="1"/>
  <c r="L175" i="12"/>
  <c r="L174" i="12" s="1"/>
  <c r="L173" i="12" s="1"/>
  <c r="L172" i="12" s="1"/>
  <c r="L171" i="12" s="1"/>
  <c r="H175" i="12"/>
  <c r="H174" i="12" s="1"/>
  <c r="H173" i="12" s="1"/>
  <c r="H172" i="12" s="1"/>
  <c r="H171" i="12" s="1"/>
  <c r="G175" i="12"/>
  <c r="G174" i="12" s="1"/>
  <c r="G173" i="12" s="1"/>
  <c r="G172" i="12" s="1"/>
  <c r="G171" i="12" s="1"/>
  <c r="G170" i="12"/>
  <c r="G167" i="12" s="1"/>
  <c r="G166" i="12" s="1"/>
  <c r="I169" i="12"/>
  <c r="K169" i="12" s="1"/>
  <c r="I168" i="12"/>
  <c r="O167" i="12"/>
  <c r="O166" i="12" s="1"/>
  <c r="L167" i="12"/>
  <c r="L166" i="12" s="1"/>
  <c r="H167" i="12"/>
  <c r="H166" i="12" s="1"/>
  <c r="I165" i="12"/>
  <c r="K165" i="12" s="1"/>
  <c r="I164" i="12"/>
  <c r="O163" i="12"/>
  <c r="L163" i="12"/>
  <c r="H163" i="12"/>
  <c r="G163" i="12"/>
  <c r="H162" i="12"/>
  <c r="I162" i="12" s="1"/>
  <c r="I161" i="12"/>
  <c r="K161" i="12" s="1"/>
  <c r="O160" i="12"/>
  <c r="L160" i="12"/>
  <c r="H160" i="12"/>
  <c r="G160" i="12"/>
  <c r="I159" i="12"/>
  <c r="K159" i="12" s="1"/>
  <c r="K158" i="12" s="1"/>
  <c r="O158" i="12"/>
  <c r="L158" i="12"/>
  <c r="H158" i="12"/>
  <c r="G158" i="12"/>
  <c r="I154" i="12"/>
  <c r="K154" i="12" s="1"/>
  <c r="K153" i="12" s="1"/>
  <c r="O153" i="12"/>
  <c r="L153" i="12"/>
  <c r="H153" i="12"/>
  <c r="G153" i="12"/>
  <c r="I152" i="12"/>
  <c r="I151" i="12"/>
  <c r="O150" i="12"/>
  <c r="L150" i="12"/>
  <c r="H150" i="12"/>
  <c r="G150" i="12"/>
  <c r="I149" i="12"/>
  <c r="K149" i="12" s="1"/>
  <c r="I148" i="12"/>
  <c r="O147" i="12"/>
  <c r="L147" i="12"/>
  <c r="H147" i="12"/>
  <c r="G147" i="12"/>
  <c r="I143" i="12"/>
  <c r="I142" i="12" s="1"/>
  <c r="O142" i="12"/>
  <c r="L142" i="12"/>
  <c r="L141" i="12" s="1"/>
  <c r="L140" i="12" s="1"/>
  <c r="L139" i="12" s="1"/>
  <c r="H142" i="12"/>
  <c r="H141" i="12" s="1"/>
  <c r="H140" i="12" s="1"/>
  <c r="H139" i="12" s="1"/>
  <c r="G142" i="12"/>
  <c r="G141" i="12" s="1"/>
  <c r="G140" i="12" s="1"/>
  <c r="G139" i="12" s="1"/>
  <c r="O141" i="12"/>
  <c r="O140" i="12" s="1"/>
  <c r="O139" i="12" s="1"/>
  <c r="I137" i="12"/>
  <c r="O136" i="12"/>
  <c r="L136" i="12"/>
  <c r="L135" i="12" s="1"/>
  <c r="H136" i="12"/>
  <c r="H135" i="12" s="1"/>
  <c r="G136" i="12"/>
  <c r="G135" i="12" s="1"/>
  <c r="G134" i="12" s="1"/>
  <c r="G133" i="12" s="1"/>
  <c r="G132" i="12" s="1"/>
  <c r="O135" i="12"/>
  <c r="O134" i="12" s="1"/>
  <c r="O133" i="12" s="1"/>
  <c r="O132" i="12" s="1"/>
  <c r="L134" i="12"/>
  <c r="L133" i="12" s="1"/>
  <c r="L132" i="12" s="1"/>
  <c r="H134" i="12"/>
  <c r="H133" i="12" s="1"/>
  <c r="H132" i="12" s="1"/>
  <c r="I131" i="12"/>
  <c r="O130" i="12"/>
  <c r="L130" i="12"/>
  <c r="L129" i="12" s="1"/>
  <c r="L128" i="12" s="1"/>
  <c r="L127" i="12" s="1"/>
  <c r="L126" i="12" s="1"/>
  <c r="H130" i="12"/>
  <c r="H129" i="12" s="1"/>
  <c r="H128" i="12" s="1"/>
  <c r="H127" i="12" s="1"/>
  <c r="H126" i="12" s="1"/>
  <c r="G130" i="12"/>
  <c r="G129" i="12" s="1"/>
  <c r="G128" i="12" s="1"/>
  <c r="G127" i="12" s="1"/>
  <c r="G126" i="12" s="1"/>
  <c r="O129" i="12"/>
  <c r="O128" i="12" s="1"/>
  <c r="O127" i="12" s="1"/>
  <c r="O126" i="12" s="1"/>
  <c r="H125" i="12"/>
  <c r="H124" i="12" s="1"/>
  <c r="H123" i="12" s="1"/>
  <c r="H122" i="12" s="1"/>
  <c r="H121" i="12" s="1"/>
  <c r="H120" i="12" s="1"/>
  <c r="G124" i="12"/>
  <c r="G123" i="12" s="1"/>
  <c r="G122" i="12" s="1"/>
  <c r="G121" i="12" s="1"/>
  <c r="G120" i="12" s="1"/>
  <c r="O123" i="12"/>
  <c r="O122" i="12" s="1"/>
  <c r="O121" i="12" s="1"/>
  <c r="O120" i="12" s="1"/>
  <c r="L123" i="12"/>
  <c r="L122" i="12" s="1"/>
  <c r="L121" i="12" s="1"/>
  <c r="L120" i="12" s="1"/>
  <c r="H118" i="12"/>
  <c r="G118" i="12"/>
  <c r="G116" i="12" s="1"/>
  <c r="G115" i="12" s="1"/>
  <c r="G114" i="12" s="1"/>
  <c r="G113" i="12" s="1"/>
  <c r="G112" i="12" s="1"/>
  <c r="H117" i="12"/>
  <c r="I117" i="12" s="1"/>
  <c r="O116" i="12"/>
  <c r="O115" i="12" s="1"/>
  <c r="O114" i="12" s="1"/>
  <c r="O113" i="12" s="1"/>
  <c r="L116" i="12"/>
  <c r="L115" i="12" s="1"/>
  <c r="L114" i="12" s="1"/>
  <c r="L113" i="12" s="1"/>
  <c r="I111" i="12"/>
  <c r="K111" i="12" s="1"/>
  <c r="K110" i="12" s="1"/>
  <c r="O110" i="12"/>
  <c r="L110" i="12"/>
  <c r="H110" i="12"/>
  <c r="G110" i="12"/>
  <c r="I109" i="12"/>
  <c r="K109" i="12" s="1"/>
  <c r="I108" i="12"/>
  <c r="O107" i="12"/>
  <c r="L107" i="12"/>
  <c r="H107" i="12"/>
  <c r="G107" i="12"/>
  <c r="I104" i="12"/>
  <c r="O103" i="12"/>
  <c r="O102" i="12" s="1"/>
  <c r="O101" i="12" s="1"/>
  <c r="L103" i="12"/>
  <c r="L102" i="12" s="1"/>
  <c r="L101" i="12" s="1"/>
  <c r="H103" i="12"/>
  <c r="H102" i="12" s="1"/>
  <c r="H101" i="12" s="1"/>
  <c r="G103" i="12"/>
  <c r="G102" i="12" s="1"/>
  <c r="G101" i="12" s="1"/>
  <c r="O99" i="12"/>
  <c r="O98" i="12" s="1"/>
  <c r="O97" i="12" s="1"/>
  <c r="L99" i="12"/>
  <c r="I99" i="12"/>
  <c r="I98" i="12" s="1"/>
  <c r="H99" i="12"/>
  <c r="H98" i="12" s="1"/>
  <c r="H97" i="12" s="1"/>
  <c r="G99" i="12"/>
  <c r="G98" i="12" s="1"/>
  <c r="G97" i="12" s="1"/>
  <c r="L98" i="12"/>
  <c r="L97" i="12" s="1"/>
  <c r="I95" i="12"/>
  <c r="I94" i="12" s="1"/>
  <c r="O94" i="12"/>
  <c r="L94" i="12"/>
  <c r="L93" i="12" s="1"/>
  <c r="L92" i="12" s="1"/>
  <c r="L91" i="12" s="1"/>
  <c r="H94" i="12"/>
  <c r="H93" i="12" s="1"/>
  <c r="H92" i="12" s="1"/>
  <c r="H91" i="12" s="1"/>
  <c r="G94" i="12"/>
  <c r="G93" i="12" s="1"/>
  <c r="G92" i="12" s="1"/>
  <c r="G91" i="12" s="1"/>
  <c r="O93" i="12"/>
  <c r="O92" i="12" s="1"/>
  <c r="O91" i="12" s="1"/>
  <c r="I89" i="12"/>
  <c r="K89" i="12" s="1"/>
  <c r="I88" i="12"/>
  <c r="I85" i="12"/>
  <c r="I84" i="12"/>
  <c r="O83" i="12"/>
  <c r="L83" i="12"/>
  <c r="H83" i="12"/>
  <c r="G83" i="12"/>
  <c r="H82" i="12"/>
  <c r="I82" i="12" s="1"/>
  <c r="O81" i="12"/>
  <c r="L81" i="12"/>
  <c r="G81" i="12"/>
  <c r="I77" i="12"/>
  <c r="K77" i="12" s="1"/>
  <c r="O76" i="12"/>
  <c r="O75" i="12" s="1"/>
  <c r="O74" i="12" s="1"/>
  <c r="O73" i="12" s="1"/>
  <c r="O72" i="12" s="1"/>
  <c r="L76" i="12"/>
  <c r="L75" i="12" s="1"/>
  <c r="L74" i="12" s="1"/>
  <c r="L73" i="12" s="1"/>
  <c r="L72" i="12" s="1"/>
  <c r="G76" i="12"/>
  <c r="H75" i="12"/>
  <c r="H74" i="12" s="1"/>
  <c r="H73" i="12" s="1"/>
  <c r="H72" i="12" s="1"/>
  <c r="I70" i="12"/>
  <c r="I69" i="12" s="1"/>
  <c r="O69" i="12"/>
  <c r="O68" i="12" s="1"/>
  <c r="L69" i="12"/>
  <c r="L68" i="12" s="1"/>
  <c r="H69" i="12"/>
  <c r="H68" i="12" s="1"/>
  <c r="G69" i="12"/>
  <c r="G68" i="12" s="1"/>
  <c r="I67" i="12"/>
  <c r="I66" i="12"/>
  <c r="I65" i="12"/>
  <c r="O64" i="12"/>
  <c r="L64" i="12"/>
  <c r="H64" i="12"/>
  <c r="G64" i="12"/>
  <c r="I63" i="12"/>
  <c r="O62" i="12"/>
  <c r="L62" i="12"/>
  <c r="H62" i="12"/>
  <c r="G62" i="12"/>
  <c r="I59" i="12"/>
  <c r="O58" i="12"/>
  <c r="L58" i="12"/>
  <c r="H58" i="12"/>
  <c r="G58" i="12"/>
  <c r="I57" i="12"/>
  <c r="I56" i="12"/>
  <c r="O55" i="12"/>
  <c r="L55" i="12"/>
  <c r="H55" i="12"/>
  <c r="G55" i="12"/>
  <c r="I54" i="12"/>
  <c r="O53" i="12"/>
  <c r="L53" i="12"/>
  <c r="H53" i="12"/>
  <c r="G53" i="12"/>
  <c r="I52" i="12"/>
  <c r="O51" i="12"/>
  <c r="L51" i="12"/>
  <c r="H51" i="12"/>
  <c r="G51" i="12"/>
  <c r="I50" i="12"/>
  <c r="I49" i="12" s="1"/>
  <c r="O49" i="12"/>
  <c r="L49" i="12"/>
  <c r="H49" i="12"/>
  <c r="G49" i="12"/>
  <c r="I45" i="12"/>
  <c r="O44" i="12"/>
  <c r="L44" i="12"/>
  <c r="H44" i="12"/>
  <c r="G44" i="12"/>
  <c r="G43" i="12"/>
  <c r="G42" i="12" s="1"/>
  <c r="O42" i="12"/>
  <c r="L42" i="12"/>
  <c r="H42" i="12"/>
  <c r="I38" i="12"/>
  <c r="I36" i="12"/>
  <c r="I35" i="12"/>
  <c r="O34" i="12"/>
  <c r="O33" i="12" s="1"/>
  <c r="O32" i="12" s="1"/>
  <c r="L34" i="12"/>
  <c r="L33" i="12" s="1"/>
  <c r="L32" i="12" s="1"/>
  <c r="H34" i="12"/>
  <c r="H33" i="12" s="1"/>
  <c r="H32" i="12" s="1"/>
  <c r="G34" i="12"/>
  <c r="G33" i="12" s="1"/>
  <c r="G32" i="12" s="1"/>
  <c r="I31" i="12"/>
  <c r="I30" i="12"/>
  <c r="O29" i="12"/>
  <c r="O28" i="12" s="1"/>
  <c r="O27" i="12" s="1"/>
  <c r="L29" i="12"/>
  <c r="L28" i="12" s="1"/>
  <c r="L27" i="12" s="1"/>
  <c r="H29" i="12"/>
  <c r="H28" i="12" s="1"/>
  <c r="H27" i="12" s="1"/>
  <c r="G29" i="12"/>
  <c r="G28" i="12" s="1"/>
  <c r="G27" i="12" s="1"/>
  <c r="I25" i="12"/>
  <c r="I24" i="12"/>
  <c r="O23" i="12"/>
  <c r="O22" i="12" s="1"/>
  <c r="O21" i="12" s="1"/>
  <c r="O20" i="12" s="1"/>
  <c r="L23" i="12"/>
  <c r="L22" i="12" s="1"/>
  <c r="L21" i="12" s="1"/>
  <c r="L20" i="12" s="1"/>
  <c r="H23" i="12"/>
  <c r="H22" i="12" s="1"/>
  <c r="H21" i="12" s="1"/>
  <c r="H20" i="12" s="1"/>
  <c r="G23" i="12"/>
  <c r="G22" i="12" s="1"/>
  <c r="G21" i="12" s="1"/>
  <c r="G20" i="12" s="1"/>
  <c r="I17" i="12"/>
  <c r="K17" i="12" s="1"/>
  <c r="I16" i="12"/>
  <c r="O15" i="12"/>
  <c r="L15" i="12"/>
  <c r="H15" i="12"/>
  <c r="G15" i="12"/>
  <c r="I14" i="12"/>
  <c r="I13" i="12"/>
  <c r="O12" i="12"/>
  <c r="L12" i="12"/>
  <c r="H12" i="12"/>
  <c r="G12" i="12"/>
  <c r="J240" i="12" l="1"/>
  <c r="Q202" i="12"/>
  <c r="Q201" i="12" s="1"/>
  <c r="Q200" i="12" s="1"/>
  <c r="Q199" i="12" s="1"/>
  <c r="O202" i="12"/>
  <c r="O201" i="12" s="1"/>
  <c r="O200" i="12" s="1"/>
  <c r="O199" i="12" s="1"/>
  <c r="N83" i="12"/>
  <c r="M112" i="12"/>
  <c r="K241" i="12"/>
  <c r="K202" i="12"/>
  <c r="K201" i="12" s="1"/>
  <c r="K200" i="12" s="1"/>
  <c r="K199" i="12" s="1"/>
  <c r="J202" i="12"/>
  <c r="J201" i="12" s="1"/>
  <c r="J200" i="12" s="1"/>
  <c r="J199" i="12" s="1"/>
  <c r="P202" i="12"/>
  <c r="P201" i="12" s="1"/>
  <c r="P200" i="12" s="1"/>
  <c r="P199" i="12" s="1"/>
  <c r="N202" i="12"/>
  <c r="N201" i="12" s="1"/>
  <c r="N200" i="12" s="1"/>
  <c r="N199" i="12" s="1"/>
  <c r="H202" i="12"/>
  <c r="H201" i="12" s="1"/>
  <c r="H200" i="12" s="1"/>
  <c r="H199" i="12" s="1"/>
  <c r="K66" i="12"/>
  <c r="K197" i="12"/>
  <c r="N12" i="12"/>
  <c r="I203" i="12"/>
  <c r="I202" i="12" s="1"/>
  <c r="I201" i="12" s="1"/>
  <c r="I200" i="12" s="1"/>
  <c r="I199" i="12" s="1"/>
  <c r="P219" i="12"/>
  <c r="P218" i="12" s="1"/>
  <c r="P213" i="12" s="1"/>
  <c r="P207" i="12" s="1"/>
  <c r="Q246" i="12"/>
  <c r="I205" i="12"/>
  <c r="I211" i="12"/>
  <c r="I210" i="12" s="1"/>
  <c r="I29" i="12"/>
  <c r="I28" i="12" s="1"/>
  <c r="K38" i="12"/>
  <c r="G61" i="12"/>
  <c r="G60" i="12" s="1"/>
  <c r="J106" i="12"/>
  <c r="J105" i="12" s="1"/>
  <c r="J96" i="12" s="1"/>
  <c r="J90" i="12" s="1"/>
  <c r="P11" i="12"/>
  <c r="P10" i="12" s="1"/>
  <c r="P9" i="12" s="1"/>
  <c r="P8" i="12" s="1"/>
  <c r="P7" i="12" s="1"/>
  <c r="Q15" i="12"/>
  <c r="J64" i="12"/>
  <c r="Q86" i="12"/>
  <c r="I187" i="12"/>
  <c r="I186" i="12" s="1"/>
  <c r="I185" i="12" s="1"/>
  <c r="N220" i="12"/>
  <c r="N219" i="12" s="1"/>
  <c r="N218" i="12" s="1"/>
  <c r="N213" i="12" s="1"/>
  <c r="N207" i="12" s="1"/>
  <c r="M256" i="12"/>
  <c r="Q23" i="12"/>
  <c r="Q22" i="12" s="1"/>
  <c r="Q21" i="12" s="1"/>
  <c r="Q20" i="12" s="1"/>
  <c r="Q55" i="12"/>
  <c r="Q48" i="12" s="1"/>
  <c r="Q47" i="12" s="1"/>
  <c r="Q83" i="12"/>
  <c r="Q147" i="12"/>
  <c r="P256" i="12"/>
  <c r="P252" i="12" s="1"/>
  <c r="P251" i="12" s="1"/>
  <c r="Q271" i="12"/>
  <c r="N86" i="12"/>
  <c r="K87" i="12"/>
  <c r="P80" i="12"/>
  <c r="P79" i="12" s="1"/>
  <c r="P78" i="12" s="1"/>
  <c r="P71" i="12" s="1"/>
  <c r="Q228" i="12"/>
  <c r="Q227" i="12" s="1"/>
  <c r="Q226" i="12" s="1"/>
  <c r="I86" i="12"/>
  <c r="M219" i="12"/>
  <c r="M218" i="12" s="1"/>
  <c r="M213" i="12" s="1"/>
  <c r="M207" i="12" s="1"/>
  <c r="P26" i="12"/>
  <c r="P106" i="12"/>
  <c r="P105" i="12" s="1"/>
  <c r="P96" i="12" s="1"/>
  <c r="P90" i="12" s="1"/>
  <c r="Q261" i="12"/>
  <c r="L61" i="12"/>
  <c r="L60" i="12" s="1"/>
  <c r="I110" i="12"/>
  <c r="I153" i="12"/>
  <c r="J48" i="12"/>
  <c r="J47" i="12" s="1"/>
  <c r="M48" i="12"/>
  <c r="M47" i="12" s="1"/>
  <c r="M106" i="12"/>
  <c r="M105" i="12" s="1"/>
  <c r="M96" i="12" s="1"/>
  <c r="M90" i="12" s="1"/>
  <c r="M146" i="12"/>
  <c r="M145" i="12" s="1"/>
  <c r="M144" i="12" s="1"/>
  <c r="N246" i="12"/>
  <c r="N261" i="12"/>
  <c r="Q29" i="12"/>
  <c r="Q28" i="12" s="1"/>
  <c r="Q27" i="12" s="1"/>
  <c r="Q107" i="12"/>
  <c r="Q106" i="12" s="1"/>
  <c r="Q105" i="12" s="1"/>
  <c r="Q96" i="12" s="1"/>
  <c r="Q90" i="12" s="1"/>
  <c r="P112" i="12"/>
  <c r="N41" i="12"/>
  <c r="N40" i="12" s="1"/>
  <c r="N39" i="12" s="1"/>
  <c r="N194" i="12"/>
  <c r="N193" i="12" s="1"/>
  <c r="N192" i="12" s="1"/>
  <c r="N191" i="12" s="1"/>
  <c r="N190" i="12" s="1"/>
  <c r="N189" i="12" s="1"/>
  <c r="N266" i="12"/>
  <c r="P61" i="12"/>
  <c r="P60" i="12" s="1"/>
  <c r="G26" i="12"/>
  <c r="I55" i="12"/>
  <c r="H61" i="12"/>
  <c r="H60" i="12" s="1"/>
  <c r="I158" i="12"/>
  <c r="M11" i="12"/>
  <c r="M10" i="12" s="1"/>
  <c r="M9" i="12" s="1"/>
  <c r="M8" i="12" s="1"/>
  <c r="M7" i="12" s="1"/>
  <c r="N64" i="12"/>
  <c r="N61" i="12" s="1"/>
  <c r="N60" i="12" s="1"/>
  <c r="N116" i="12"/>
  <c r="N115" i="12" s="1"/>
  <c r="N114" i="12" s="1"/>
  <c r="N113" i="12" s="1"/>
  <c r="N112" i="12" s="1"/>
  <c r="M157" i="12"/>
  <c r="M156" i="12" s="1"/>
  <c r="M155" i="12" s="1"/>
  <c r="N167" i="12"/>
  <c r="N166" i="12" s="1"/>
  <c r="Q116" i="12"/>
  <c r="Q115" i="12" s="1"/>
  <c r="Q114" i="12" s="1"/>
  <c r="Q113" i="12" s="1"/>
  <c r="Q112" i="12" s="1"/>
  <c r="P146" i="12"/>
  <c r="P145" i="12" s="1"/>
  <c r="P144" i="12" s="1"/>
  <c r="P157" i="12"/>
  <c r="P156" i="12" s="1"/>
  <c r="P155" i="12" s="1"/>
  <c r="Q160" i="12"/>
  <c r="Q167" i="12"/>
  <c r="Q166" i="12" s="1"/>
  <c r="Q220" i="12"/>
  <c r="Q219" i="12" s="1"/>
  <c r="Q218" i="12" s="1"/>
  <c r="Q213" i="12" s="1"/>
  <c r="Q207" i="12" s="1"/>
  <c r="Q266" i="12"/>
  <c r="Q283" i="12"/>
  <c r="Q282" i="12" s="1"/>
  <c r="Q281" i="12" s="1"/>
  <c r="Q280" i="12" s="1"/>
  <c r="M80" i="12"/>
  <c r="M79" i="12" s="1"/>
  <c r="M78" i="12" s="1"/>
  <c r="M71" i="12" s="1"/>
  <c r="Q41" i="12"/>
  <c r="Q40" i="12" s="1"/>
  <c r="Q39" i="12" s="1"/>
  <c r="K265" i="12"/>
  <c r="K264" i="12" s="1"/>
  <c r="M26" i="12"/>
  <c r="N228" i="12"/>
  <c r="N227" i="12" s="1"/>
  <c r="N226" i="12" s="1"/>
  <c r="H11" i="12"/>
  <c r="H10" i="12" s="1"/>
  <c r="H9" i="12" s="1"/>
  <c r="H8" i="12" s="1"/>
  <c r="H7" i="12" s="1"/>
  <c r="L26" i="12"/>
  <c r="O146" i="12"/>
  <c r="O145" i="12" s="1"/>
  <c r="O144" i="12" s="1"/>
  <c r="H146" i="12"/>
  <c r="H145" i="12" s="1"/>
  <c r="H144" i="12" s="1"/>
  <c r="J11" i="12"/>
  <c r="J10" i="12" s="1"/>
  <c r="J9" i="12" s="1"/>
  <c r="J8" i="12" s="1"/>
  <c r="J7" i="12" s="1"/>
  <c r="K50" i="12"/>
  <c r="K49" i="12" s="1"/>
  <c r="J146" i="12"/>
  <c r="J145" i="12" s="1"/>
  <c r="J144" i="12" s="1"/>
  <c r="K260" i="12"/>
  <c r="K259" i="12" s="1"/>
  <c r="N80" i="12"/>
  <c r="N79" i="12" s="1"/>
  <c r="N78" i="12" s="1"/>
  <c r="N106" i="12"/>
  <c r="N105" i="12" s="1"/>
  <c r="N96" i="12" s="1"/>
  <c r="N90" i="12" s="1"/>
  <c r="M252" i="12"/>
  <c r="M251" i="12" s="1"/>
  <c r="N271" i="12"/>
  <c r="Q34" i="12"/>
  <c r="Q33" i="12" s="1"/>
  <c r="Q32" i="12" s="1"/>
  <c r="P41" i="12"/>
  <c r="P40" i="12" s="1"/>
  <c r="P39" i="12" s="1"/>
  <c r="Q76" i="12"/>
  <c r="Q75" i="12" s="1"/>
  <c r="Q74" i="12" s="1"/>
  <c r="Q73" i="12" s="1"/>
  <c r="Q72" i="12" s="1"/>
  <c r="Q194" i="12"/>
  <c r="Q193" i="12" s="1"/>
  <c r="Q192" i="12" s="1"/>
  <c r="Q191" i="12" s="1"/>
  <c r="Q190" i="12" s="1"/>
  <c r="Q189" i="12" s="1"/>
  <c r="P228" i="12"/>
  <c r="P227" i="12" s="1"/>
  <c r="P226" i="12" s="1"/>
  <c r="Q240" i="12"/>
  <c r="O11" i="12"/>
  <c r="O10" i="12" s="1"/>
  <c r="O9" i="12" s="1"/>
  <c r="O8" i="12" s="1"/>
  <c r="O7" i="12" s="1"/>
  <c r="G157" i="12"/>
  <c r="G156" i="12" s="1"/>
  <c r="G155" i="12" s="1"/>
  <c r="L157" i="12"/>
  <c r="L156" i="12" s="1"/>
  <c r="L155" i="12" s="1"/>
  <c r="H219" i="12"/>
  <c r="H218" i="12" s="1"/>
  <c r="L219" i="12"/>
  <c r="L218" i="12" s="1"/>
  <c r="L213" i="12" s="1"/>
  <c r="L207" i="12" s="1"/>
  <c r="H231" i="12"/>
  <c r="H228" i="12" s="1"/>
  <c r="H227" i="12" s="1"/>
  <c r="H226" i="12" s="1"/>
  <c r="J219" i="12"/>
  <c r="J218" i="12" s="1"/>
  <c r="J213" i="12" s="1"/>
  <c r="J207" i="12" s="1"/>
  <c r="K255" i="12"/>
  <c r="K254" i="12" s="1"/>
  <c r="K253" i="12" s="1"/>
  <c r="N23" i="12"/>
  <c r="N22" i="12" s="1"/>
  <c r="N21" i="12" s="1"/>
  <c r="N20" i="12" s="1"/>
  <c r="N29" i="12"/>
  <c r="N28" i="12" s="1"/>
  <c r="N27" i="12" s="1"/>
  <c r="N34" i="12"/>
  <c r="N33" i="12" s="1"/>
  <c r="N32" i="12" s="1"/>
  <c r="M41" i="12"/>
  <c r="M40" i="12" s="1"/>
  <c r="M39" i="12" s="1"/>
  <c r="N55" i="12"/>
  <c r="N48" i="12" s="1"/>
  <c r="N47" i="12" s="1"/>
  <c r="M61" i="12"/>
  <c r="M60" i="12" s="1"/>
  <c r="N76" i="12"/>
  <c r="N75" i="12" s="1"/>
  <c r="N74" i="12" s="1"/>
  <c r="N73" i="12" s="1"/>
  <c r="N72" i="12" s="1"/>
  <c r="N150" i="12"/>
  <c r="N163" i="12"/>
  <c r="N240" i="12"/>
  <c r="N283" i="12"/>
  <c r="N282" i="12" s="1"/>
  <c r="N281" i="12" s="1"/>
  <c r="N280" i="12" s="1"/>
  <c r="Q12" i="12"/>
  <c r="Q64" i="12"/>
  <c r="Q61" i="12" s="1"/>
  <c r="Q60" i="12" s="1"/>
  <c r="P239" i="12"/>
  <c r="P238" i="12" s="1"/>
  <c r="P237" i="12" s="1"/>
  <c r="G48" i="12"/>
  <c r="G47" i="12" s="1"/>
  <c r="O112" i="12"/>
  <c r="K95" i="12"/>
  <c r="K94" i="12" s="1"/>
  <c r="K93" i="12" s="1"/>
  <c r="K92" i="12" s="1"/>
  <c r="K91" i="12" s="1"/>
  <c r="N15" i="12"/>
  <c r="N11" i="12" s="1"/>
  <c r="N10" i="12" s="1"/>
  <c r="N9" i="12" s="1"/>
  <c r="N8" i="12" s="1"/>
  <c r="N7" i="12" s="1"/>
  <c r="N147" i="12"/>
  <c r="N160" i="12"/>
  <c r="M228" i="12"/>
  <c r="M227" i="12" s="1"/>
  <c r="M226" i="12" s="1"/>
  <c r="M239" i="12"/>
  <c r="M238" i="12" s="1"/>
  <c r="M237" i="12" s="1"/>
  <c r="P48" i="12"/>
  <c r="P47" i="12" s="1"/>
  <c r="Q150" i="12"/>
  <c r="Q163" i="12"/>
  <c r="Q146" i="12"/>
  <c r="Q145" i="12" s="1"/>
  <c r="Q144" i="12" s="1"/>
  <c r="I184" i="12"/>
  <c r="K25" i="12"/>
  <c r="I58" i="12"/>
  <c r="K59" i="12"/>
  <c r="K58" i="12" s="1"/>
  <c r="I107" i="12"/>
  <c r="K108" i="12"/>
  <c r="K107" i="12" s="1"/>
  <c r="K106" i="12" s="1"/>
  <c r="K105" i="12" s="1"/>
  <c r="I217" i="12"/>
  <c r="H216" i="12"/>
  <c r="H215" i="12" s="1"/>
  <c r="H214" i="12" s="1"/>
  <c r="I266" i="12"/>
  <c r="K45" i="12"/>
  <c r="K44" i="12" s="1"/>
  <c r="I53" i="12"/>
  <c r="K54" i="12"/>
  <c r="K53" i="12" s="1"/>
  <c r="I175" i="12"/>
  <c r="K176" i="12"/>
  <c r="K175" i="12" s="1"/>
  <c r="K174" i="12" s="1"/>
  <c r="K173" i="12" s="1"/>
  <c r="K172" i="12" s="1"/>
  <c r="K171" i="12" s="1"/>
  <c r="K258" i="12"/>
  <c r="K257" i="12" s="1"/>
  <c r="I257" i="12"/>
  <c r="K263" i="12"/>
  <c r="K31" i="12"/>
  <c r="K67" i="12"/>
  <c r="I141" i="12"/>
  <c r="K152" i="12"/>
  <c r="I231" i="12"/>
  <c r="I240" i="12"/>
  <c r="K243" i="12"/>
  <c r="K240" i="12" s="1"/>
  <c r="K162" i="12"/>
  <c r="K160" i="12" s="1"/>
  <c r="K269" i="12"/>
  <c r="K285" i="12"/>
  <c r="I15" i="12"/>
  <c r="K16" i="12"/>
  <c r="K15" i="12" s="1"/>
  <c r="I51" i="12"/>
  <c r="K131" i="12"/>
  <c r="K130" i="12" s="1"/>
  <c r="K129" i="12" s="1"/>
  <c r="K128" i="12" s="1"/>
  <c r="K127" i="12" s="1"/>
  <c r="K126" i="12" s="1"/>
  <c r="I136" i="12"/>
  <c r="K137" i="12"/>
  <c r="K136" i="12" s="1"/>
  <c r="K135" i="12" s="1"/>
  <c r="K134" i="12" s="1"/>
  <c r="K133" i="12" s="1"/>
  <c r="K132" i="12" s="1"/>
  <c r="K262" i="12"/>
  <c r="I62" i="12"/>
  <c r="I130" i="12"/>
  <c r="I150" i="12"/>
  <c r="K151" i="12"/>
  <c r="K168" i="12"/>
  <c r="I244" i="12"/>
  <c r="I249" i="12"/>
  <c r="K250" i="12"/>
  <c r="K249" i="12" s="1"/>
  <c r="I261" i="12"/>
  <c r="K270" i="12"/>
  <c r="K13" i="12"/>
  <c r="I44" i="12"/>
  <c r="I12" i="12"/>
  <c r="I11" i="12" s="1"/>
  <c r="I23" i="12"/>
  <c r="K30" i="12"/>
  <c r="I81" i="12"/>
  <c r="K82" i="12"/>
  <c r="I97" i="12"/>
  <c r="I103" i="12"/>
  <c r="K104" i="12"/>
  <c r="K103" i="12" s="1"/>
  <c r="K102" i="12" s="1"/>
  <c r="K101" i="12" s="1"/>
  <c r="I194" i="12"/>
  <c r="K195" i="12"/>
  <c r="O228" i="12"/>
  <c r="O227" i="12" s="1"/>
  <c r="O226" i="12" s="1"/>
  <c r="L228" i="12"/>
  <c r="L227" i="12" s="1"/>
  <c r="L226" i="12" s="1"/>
  <c r="I234" i="12"/>
  <c r="I274" i="12"/>
  <c r="K14" i="12"/>
  <c r="K52" i="12"/>
  <c r="K51" i="12" s="1"/>
  <c r="K143" i="12"/>
  <c r="K245" i="12"/>
  <c r="K244" i="12" s="1"/>
  <c r="L48" i="12"/>
  <c r="L47" i="12" s="1"/>
  <c r="K85" i="12"/>
  <c r="H106" i="12"/>
  <c r="H105" i="12" s="1"/>
  <c r="H96" i="12" s="1"/>
  <c r="H90" i="12" s="1"/>
  <c r="K148" i="12"/>
  <c r="K147" i="12" s="1"/>
  <c r="O219" i="12"/>
  <c r="O218" i="12" s="1"/>
  <c r="O213" i="12" s="1"/>
  <c r="O207" i="12" s="1"/>
  <c r="G228" i="12"/>
  <c r="G227" i="12" s="1"/>
  <c r="G226" i="12" s="1"/>
  <c r="I229" i="12"/>
  <c r="K230" i="12"/>
  <c r="I278" i="12"/>
  <c r="K279" i="12"/>
  <c r="K278" i="12" s="1"/>
  <c r="K56" i="12"/>
  <c r="K65" i="12"/>
  <c r="G41" i="12"/>
  <c r="G40" i="12" s="1"/>
  <c r="G39" i="12" s="1"/>
  <c r="L41" i="12"/>
  <c r="L40" i="12" s="1"/>
  <c r="L39" i="12" s="1"/>
  <c r="I68" i="12"/>
  <c r="I93" i="12"/>
  <c r="I147" i="12"/>
  <c r="O157" i="12"/>
  <c r="O156" i="12" s="1"/>
  <c r="O155" i="12" s="1"/>
  <c r="I181" i="12"/>
  <c r="G219" i="12"/>
  <c r="G218" i="12" s="1"/>
  <c r="G213" i="12" s="1"/>
  <c r="G207" i="12" s="1"/>
  <c r="I220" i="12"/>
  <c r="I253" i="12"/>
  <c r="H271" i="12"/>
  <c r="H278" i="12"/>
  <c r="K57" i="12"/>
  <c r="K70" i="12"/>
  <c r="K69" i="12" s="1"/>
  <c r="K68" i="12" s="1"/>
  <c r="K164" i="12"/>
  <c r="K163" i="12" s="1"/>
  <c r="K221" i="12"/>
  <c r="K220" i="12" s="1"/>
  <c r="K219" i="12" s="1"/>
  <c r="K218" i="12" s="1"/>
  <c r="K268" i="12"/>
  <c r="L80" i="12"/>
  <c r="L79" i="12" s="1"/>
  <c r="L78" i="12" s="1"/>
  <c r="L71" i="12" s="1"/>
  <c r="O239" i="12"/>
  <c r="O238" i="12" s="1"/>
  <c r="O237" i="12" s="1"/>
  <c r="K117" i="12"/>
  <c r="K232" i="12"/>
  <c r="K231" i="12" s="1"/>
  <c r="J160" i="12"/>
  <c r="J157" i="12" s="1"/>
  <c r="J156" i="12" s="1"/>
  <c r="J155" i="12" s="1"/>
  <c r="H26" i="12"/>
  <c r="H81" i="12"/>
  <c r="H80" i="12" s="1"/>
  <c r="H79" i="12" s="1"/>
  <c r="H78" i="12" s="1"/>
  <c r="H71" i="12" s="1"/>
  <c r="G146" i="12"/>
  <c r="G145" i="12" s="1"/>
  <c r="G144" i="12" s="1"/>
  <c r="G138" i="12" s="1"/>
  <c r="I170" i="12"/>
  <c r="H264" i="12"/>
  <c r="I283" i="12"/>
  <c r="L11" i="12"/>
  <c r="L10" i="12" s="1"/>
  <c r="L9" i="12" s="1"/>
  <c r="L8" i="12" s="1"/>
  <c r="L7" i="12" s="1"/>
  <c r="O26" i="12"/>
  <c r="H41" i="12"/>
  <c r="H40" i="12" s="1"/>
  <c r="H39" i="12" s="1"/>
  <c r="O41" i="12"/>
  <c r="O40" i="12" s="1"/>
  <c r="O39" i="12" s="1"/>
  <c r="I64" i="12"/>
  <c r="I83" i="12"/>
  <c r="L106" i="12"/>
  <c r="L105" i="12" s="1"/>
  <c r="L96" i="12" s="1"/>
  <c r="L90" i="12" s="1"/>
  <c r="G106" i="12"/>
  <c r="G105" i="12" s="1"/>
  <c r="G96" i="12" s="1"/>
  <c r="G90" i="12" s="1"/>
  <c r="O106" i="12"/>
  <c r="O105" i="12" s="1"/>
  <c r="O96" i="12" s="1"/>
  <c r="O90" i="12" s="1"/>
  <c r="I125" i="12"/>
  <c r="L146" i="12"/>
  <c r="L145" i="12" s="1"/>
  <c r="L144" i="12" s="1"/>
  <c r="G239" i="12"/>
  <c r="G238" i="12" s="1"/>
  <c r="G237" i="12" s="1"/>
  <c r="L256" i="12"/>
  <c r="L252" i="12" s="1"/>
  <c r="L251" i="12" s="1"/>
  <c r="I160" i="12"/>
  <c r="L239" i="12"/>
  <c r="L238" i="12" s="1"/>
  <c r="L237" i="12" s="1"/>
  <c r="G11" i="12"/>
  <c r="G10" i="12" s="1"/>
  <c r="G9" i="12" s="1"/>
  <c r="G8" i="12" s="1"/>
  <c r="G7" i="12" s="1"/>
  <c r="O48" i="12"/>
  <c r="O47" i="12" s="1"/>
  <c r="I34" i="12"/>
  <c r="O61" i="12"/>
  <c r="O60" i="12" s="1"/>
  <c r="G80" i="12"/>
  <c r="G79" i="12" s="1"/>
  <c r="G78" i="12" s="1"/>
  <c r="O80" i="12"/>
  <c r="O79" i="12" s="1"/>
  <c r="O78" i="12" s="1"/>
  <c r="O71" i="12" s="1"/>
  <c r="I163" i="12"/>
  <c r="I43" i="12"/>
  <c r="H48" i="12"/>
  <c r="H47" i="12" s="1"/>
  <c r="G75" i="12"/>
  <c r="G74" i="12" s="1"/>
  <c r="G73" i="12" s="1"/>
  <c r="G72" i="12" s="1"/>
  <c r="I76" i="12"/>
  <c r="L112" i="12"/>
  <c r="I118" i="12"/>
  <c r="H116" i="12"/>
  <c r="H115" i="12" s="1"/>
  <c r="H114" i="12" s="1"/>
  <c r="H113" i="12" s="1"/>
  <c r="H112" i="12" s="1"/>
  <c r="H239" i="12"/>
  <c r="H238" i="12" s="1"/>
  <c r="H237" i="12" s="1"/>
  <c r="I248" i="12"/>
  <c r="G256" i="12"/>
  <c r="G252" i="12" s="1"/>
  <c r="G251" i="12" s="1"/>
  <c r="O256" i="12"/>
  <c r="O252" i="12" s="1"/>
  <c r="O251" i="12" s="1"/>
  <c r="H157" i="12"/>
  <c r="H156" i="12" s="1"/>
  <c r="H155" i="12" s="1"/>
  <c r="I271" i="12"/>
  <c r="H213" i="12" l="1"/>
  <c r="H207" i="12" s="1"/>
  <c r="Q80" i="12"/>
  <c r="Q79" i="12" s="1"/>
  <c r="Q78" i="12" s="1"/>
  <c r="J138" i="12"/>
  <c r="P138" i="12"/>
  <c r="N256" i="12"/>
  <c r="N252" i="12" s="1"/>
  <c r="N251" i="12" s="1"/>
  <c r="N239" i="12"/>
  <c r="N238" i="12" s="1"/>
  <c r="N237" i="12" s="1"/>
  <c r="Q71" i="12"/>
  <c r="K194" i="12"/>
  <c r="K193" i="12" s="1"/>
  <c r="K192" i="12" s="1"/>
  <c r="K191" i="12" s="1"/>
  <c r="K190" i="12" s="1"/>
  <c r="K189" i="12" s="1"/>
  <c r="Q11" i="12"/>
  <c r="Q10" i="12" s="1"/>
  <c r="Q9" i="12" s="1"/>
  <c r="Q8" i="12" s="1"/>
  <c r="Q7" i="12" s="1"/>
  <c r="Q239" i="12"/>
  <c r="Q238" i="12" s="1"/>
  <c r="Q237" i="12" s="1"/>
  <c r="M46" i="12"/>
  <c r="M19" i="12" s="1"/>
  <c r="M138" i="12"/>
  <c r="O138" i="12"/>
  <c r="I228" i="12"/>
  <c r="I227" i="12" s="1"/>
  <c r="G46" i="12"/>
  <c r="G19" i="12" s="1"/>
  <c r="Q256" i="12"/>
  <c r="Q252" i="12" s="1"/>
  <c r="Q251" i="12" s="1"/>
  <c r="Q157" i="12"/>
  <c r="Q156" i="12" s="1"/>
  <c r="Q155" i="12" s="1"/>
  <c r="Q138" i="12" s="1"/>
  <c r="N26" i="12"/>
  <c r="Q26" i="12"/>
  <c r="K29" i="12"/>
  <c r="K28" i="12" s="1"/>
  <c r="K27" i="12" s="1"/>
  <c r="K150" i="12"/>
  <c r="K146" i="12" s="1"/>
  <c r="K145" i="12" s="1"/>
  <c r="K144" i="12" s="1"/>
  <c r="H138" i="12"/>
  <c r="N157" i="12"/>
  <c r="N156" i="12" s="1"/>
  <c r="N155" i="12" s="1"/>
  <c r="P225" i="12"/>
  <c r="P198" i="12" s="1"/>
  <c r="N146" i="12"/>
  <c r="N145" i="12" s="1"/>
  <c r="N144" i="12" s="1"/>
  <c r="L138" i="12"/>
  <c r="P46" i="12"/>
  <c r="P19" i="12" s="1"/>
  <c r="N71" i="12"/>
  <c r="K157" i="12"/>
  <c r="L225" i="12"/>
  <c r="L198" i="12" s="1"/>
  <c r="Q225" i="12"/>
  <c r="Q198" i="12" s="1"/>
  <c r="G225" i="12"/>
  <c r="G198" i="12" s="1"/>
  <c r="H256" i="12"/>
  <c r="H252" i="12" s="1"/>
  <c r="H251" i="12" s="1"/>
  <c r="H225" i="12" s="1"/>
  <c r="K96" i="12"/>
  <c r="K90" i="12" s="1"/>
  <c r="N46" i="12"/>
  <c r="N19" i="12" s="1"/>
  <c r="Q46" i="12"/>
  <c r="M225" i="12"/>
  <c r="M198" i="12" s="1"/>
  <c r="K64" i="12"/>
  <c r="I42" i="12"/>
  <c r="I61" i="12"/>
  <c r="I140" i="12"/>
  <c r="I106" i="12"/>
  <c r="I27" i="12"/>
  <c r="I256" i="12"/>
  <c r="I116" i="12"/>
  <c r="K118" i="12"/>
  <c r="K116" i="12" s="1"/>
  <c r="K115" i="12" s="1"/>
  <c r="K114" i="12" s="1"/>
  <c r="K113" i="12" s="1"/>
  <c r="I75" i="12"/>
  <c r="I157" i="12"/>
  <c r="I10" i="12"/>
  <c r="I282" i="12"/>
  <c r="I48" i="12"/>
  <c r="I219" i="12"/>
  <c r="K55" i="12"/>
  <c r="K81" i="12"/>
  <c r="I22" i="12"/>
  <c r="K12" i="12"/>
  <c r="K11" i="12" s="1"/>
  <c r="K10" i="12" s="1"/>
  <c r="K9" i="12" s="1"/>
  <c r="K8" i="12" s="1"/>
  <c r="K7" i="12" s="1"/>
  <c r="I216" i="12"/>
  <c r="K217" i="12"/>
  <c r="K216" i="12" s="1"/>
  <c r="K215" i="12" s="1"/>
  <c r="I183" i="12"/>
  <c r="I246" i="12"/>
  <c r="I239" i="12" s="1"/>
  <c r="I238" i="12" s="1"/>
  <c r="L46" i="12"/>
  <c r="L19" i="12" s="1"/>
  <c r="O46" i="12"/>
  <c r="I180" i="12"/>
  <c r="I102" i="12"/>
  <c r="I135" i="12"/>
  <c r="I33" i="12"/>
  <c r="I209" i="12"/>
  <c r="K229" i="12"/>
  <c r="K142" i="12"/>
  <c r="I146" i="12"/>
  <c r="I124" i="12"/>
  <c r="I80" i="12"/>
  <c r="O19" i="12"/>
  <c r="I167" i="12"/>
  <c r="K170" i="12"/>
  <c r="K167" i="12" s="1"/>
  <c r="K166" i="12" s="1"/>
  <c r="I92" i="12"/>
  <c r="I193" i="12"/>
  <c r="I129" i="12"/>
  <c r="K261" i="12"/>
  <c r="I174" i="12"/>
  <c r="O225" i="12"/>
  <c r="O198" i="12" s="1"/>
  <c r="G71" i="12"/>
  <c r="H46" i="12"/>
  <c r="H19" i="12" s="1"/>
  <c r="L18" i="12"/>
  <c r="N225" i="12" l="1"/>
  <c r="N198" i="12" s="1"/>
  <c r="H198" i="12"/>
  <c r="M18" i="12"/>
  <c r="M6" i="12" s="1"/>
  <c r="O18" i="12"/>
  <c r="G18" i="12"/>
  <c r="P18" i="12"/>
  <c r="P6" i="12" s="1"/>
  <c r="H18" i="12"/>
  <c r="N138" i="12"/>
  <c r="N18" i="12" s="1"/>
  <c r="N6" i="12" s="1"/>
  <c r="G6" i="12"/>
  <c r="K156" i="12"/>
  <c r="K155" i="12" s="1"/>
  <c r="K214" i="12"/>
  <c r="K213" i="12" s="1"/>
  <c r="K207" i="12" s="1"/>
  <c r="Q19" i="12"/>
  <c r="Q18" i="12" s="1"/>
  <c r="Q6" i="12" s="1"/>
  <c r="O6" i="12"/>
  <c r="I128" i="12"/>
  <c r="I166" i="12"/>
  <c r="I208" i="12"/>
  <c r="I179" i="12"/>
  <c r="I215" i="12"/>
  <c r="I218" i="12"/>
  <c r="I281" i="12"/>
  <c r="I74" i="12"/>
  <c r="L6" i="12"/>
  <c r="K141" i="12"/>
  <c r="I134" i="12"/>
  <c r="I101" i="12"/>
  <c r="I105" i="12"/>
  <c r="I192" i="12"/>
  <c r="I91" i="12"/>
  <c r="I123" i="12"/>
  <c r="I21" i="12"/>
  <c r="I47" i="12"/>
  <c r="I9" i="12"/>
  <c r="K48" i="12"/>
  <c r="K47" i="12" s="1"/>
  <c r="I252" i="12"/>
  <c r="I226" i="12"/>
  <c r="I173" i="12"/>
  <c r="I79" i="12"/>
  <c r="I145" i="12"/>
  <c r="I32" i="12"/>
  <c r="I115" i="12"/>
  <c r="I139" i="12"/>
  <c r="I60" i="12"/>
  <c r="I41" i="12"/>
  <c r="I237" i="12"/>
  <c r="H6" i="12" l="1"/>
  <c r="I172" i="12"/>
  <c r="I251" i="12"/>
  <c r="I133" i="12"/>
  <c r="I40" i="12"/>
  <c r="I144" i="12"/>
  <c r="I8" i="12"/>
  <c r="I20" i="12"/>
  <c r="I280" i="12"/>
  <c r="I214" i="12"/>
  <c r="I127" i="12"/>
  <c r="I96" i="12"/>
  <c r="K140" i="12"/>
  <c r="I46" i="12"/>
  <c r="I114" i="12"/>
  <c r="I26" i="12"/>
  <c r="I78" i="12"/>
  <c r="I122" i="12"/>
  <c r="I191" i="12"/>
  <c r="I73" i="12"/>
  <c r="I178" i="12"/>
  <c r="I156" i="12"/>
  <c r="I47" i="9"/>
  <c r="J43" i="12" s="1"/>
  <c r="F8" i="8"/>
  <c r="F7" i="8" s="1"/>
  <c r="F68" i="8"/>
  <c r="F66" i="8"/>
  <c r="F50" i="8"/>
  <c r="F47" i="8"/>
  <c r="F45" i="8"/>
  <c r="F42" i="8"/>
  <c r="F35" i="8"/>
  <c r="F30" i="8"/>
  <c r="F11" i="8"/>
  <c r="D47" i="8"/>
  <c r="H47" i="8"/>
  <c r="I47" i="8"/>
  <c r="K47" i="8"/>
  <c r="L47" i="8"/>
  <c r="C47" i="8"/>
  <c r="E13" i="13"/>
  <c r="J42" i="12" l="1"/>
  <c r="J41" i="12" s="1"/>
  <c r="J40" i="12" s="1"/>
  <c r="J39" i="12" s="1"/>
  <c r="K43" i="12"/>
  <c r="K42" i="12" s="1"/>
  <c r="K41" i="12" s="1"/>
  <c r="K40" i="12" s="1"/>
  <c r="K39" i="12" s="1"/>
  <c r="I190" i="12"/>
  <c r="I113" i="12"/>
  <c r="I72" i="12"/>
  <c r="I71" i="12" s="1"/>
  <c r="K139" i="12"/>
  <c r="I177" i="12"/>
  <c r="I39" i="12"/>
  <c r="I19" i="12" s="1"/>
  <c r="I213" i="12"/>
  <c r="I155" i="12"/>
  <c r="I121" i="12"/>
  <c r="I225" i="12"/>
  <c r="I90" i="12"/>
  <c r="I126" i="12"/>
  <c r="I7" i="12"/>
  <c r="I132" i="12"/>
  <c r="I171" i="12"/>
  <c r="I138" i="12" l="1"/>
  <c r="I207" i="12"/>
  <c r="I198" i="12" s="1"/>
  <c r="I120" i="12"/>
  <c r="K138" i="12"/>
  <c r="I189" i="12"/>
  <c r="G38" i="11"/>
  <c r="G100" i="10"/>
  <c r="G114" i="10"/>
  <c r="G113" i="10" s="1"/>
  <c r="G112" i="10"/>
  <c r="G111" i="10" s="1"/>
  <c r="G104" i="10"/>
  <c r="G105" i="10"/>
  <c r="G106" i="10"/>
  <c r="G93" i="10"/>
  <c r="G83" i="10"/>
  <c r="G80" i="10"/>
  <c r="G75" i="10"/>
  <c r="G76" i="10"/>
  <c r="G74" i="10"/>
  <c r="G59" i="10"/>
  <c r="G49" i="10"/>
  <c r="G124" i="10"/>
  <c r="G123" i="10" s="1"/>
  <c r="G122" i="10" s="1"/>
  <c r="G121" i="10" s="1"/>
  <c r="G23" i="10"/>
  <c r="D22" i="10"/>
  <c r="N23" i="10"/>
  <c r="N22" i="10" s="1"/>
  <c r="K23" i="10"/>
  <c r="F23" i="10"/>
  <c r="E22" i="10"/>
  <c r="I22" i="10"/>
  <c r="J22" i="10"/>
  <c r="L22" i="10"/>
  <c r="M22" i="10"/>
  <c r="G21" i="10"/>
  <c r="I84" i="9"/>
  <c r="M120" i="10"/>
  <c r="N120" i="10" s="1"/>
  <c r="N119" i="10" s="1"/>
  <c r="N118" i="10" s="1"/>
  <c r="N117" i="10" s="1"/>
  <c r="J120" i="10"/>
  <c r="K120" i="10" s="1"/>
  <c r="K119" i="10" s="1"/>
  <c r="K118" i="10" s="1"/>
  <c r="K117" i="10" s="1"/>
  <c r="G46" i="11"/>
  <c r="G44" i="11"/>
  <c r="G43" i="11"/>
  <c r="G42" i="11" s="1"/>
  <c r="G146" i="10"/>
  <c r="G145" i="10" s="1"/>
  <c r="H146" i="10"/>
  <c r="N146" i="10"/>
  <c r="K146" i="10"/>
  <c r="K145" i="10" s="1"/>
  <c r="F146" i="10"/>
  <c r="F145" i="10" s="1"/>
  <c r="N145" i="10"/>
  <c r="M145" i="10"/>
  <c r="L145" i="10"/>
  <c r="J145" i="10"/>
  <c r="I145" i="10"/>
  <c r="E145" i="10"/>
  <c r="D145" i="10"/>
  <c r="G135" i="10"/>
  <c r="N135" i="10"/>
  <c r="N134" i="10" s="1"/>
  <c r="K135" i="10"/>
  <c r="K134" i="10" s="1"/>
  <c r="F135" i="10"/>
  <c r="M134" i="10"/>
  <c r="L134" i="10"/>
  <c r="J134" i="10"/>
  <c r="J133" i="10" s="1"/>
  <c r="I134" i="10"/>
  <c r="G134" i="10"/>
  <c r="F134" i="10"/>
  <c r="E134" i="10"/>
  <c r="D134" i="10"/>
  <c r="G30" i="11"/>
  <c r="G21" i="11"/>
  <c r="G22" i="11"/>
  <c r="G20" i="11"/>
  <c r="G12" i="11"/>
  <c r="G15" i="11"/>
  <c r="N157" i="10"/>
  <c r="N156" i="10" s="1"/>
  <c r="N155" i="10" s="1"/>
  <c r="N154" i="10" s="1"/>
  <c r="K157" i="10"/>
  <c r="F157" i="10"/>
  <c r="M156" i="10"/>
  <c r="M155" i="10" s="1"/>
  <c r="M154" i="10" s="1"/>
  <c r="L156" i="10"/>
  <c r="L155" i="10" s="1"/>
  <c r="L154" i="10" s="1"/>
  <c r="K156" i="10"/>
  <c r="K155" i="10" s="1"/>
  <c r="K154" i="10" s="1"/>
  <c r="J156" i="10"/>
  <c r="I156" i="10"/>
  <c r="I155" i="10" s="1"/>
  <c r="I154" i="10" s="1"/>
  <c r="G156" i="10"/>
  <c r="G155" i="10" s="1"/>
  <c r="G154" i="10" s="1"/>
  <c r="E156" i="10"/>
  <c r="E155" i="10" s="1"/>
  <c r="E154" i="10" s="1"/>
  <c r="D156" i="10"/>
  <c r="D155" i="10" s="1"/>
  <c r="D154" i="10" s="1"/>
  <c r="J155" i="10"/>
  <c r="J154" i="10" s="1"/>
  <c r="N153" i="10"/>
  <c r="K153" i="10"/>
  <c r="F153" i="10"/>
  <c r="H153" i="10" s="1"/>
  <c r="N152" i="10"/>
  <c r="K152" i="10"/>
  <c r="K151" i="10" s="1"/>
  <c r="F152" i="10"/>
  <c r="F151" i="10" s="1"/>
  <c r="F150" i="10" s="1"/>
  <c r="F149" i="10" s="1"/>
  <c r="N151" i="10"/>
  <c r="N150" i="10" s="1"/>
  <c r="N149" i="10" s="1"/>
  <c r="M151" i="10"/>
  <c r="M150" i="10" s="1"/>
  <c r="M149" i="10" s="1"/>
  <c r="L151" i="10"/>
  <c r="L150" i="10" s="1"/>
  <c r="L149" i="10" s="1"/>
  <c r="J151" i="10"/>
  <c r="J150" i="10" s="1"/>
  <c r="J149" i="10" s="1"/>
  <c r="I151" i="10"/>
  <c r="I150" i="10" s="1"/>
  <c r="I149" i="10" s="1"/>
  <c r="G151" i="10"/>
  <c r="E151" i="10"/>
  <c r="E150" i="10" s="1"/>
  <c r="E149" i="10" s="1"/>
  <c r="D151" i="10"/>
  <c r="D150" i="10" s="1"/>
  <c r="D149" i="10" s="1"/>
  <c r="K150" i="10"/>
  <c r="K149" i="10" s="1"/>
  <c r="G150" i="10"/>
  <c r="G149" i="10" s="1"/>
  <c r="N148" i="10"/>
  <c r="N147" i="10" s="1"/>
  <c r="K148" i="10"/>
  <c r="K147" i="10" s="1"/>
  <c r="F148" i="10"/>
  <c r="H148" i="10" s="1"/>
  <c r="H147" i="10" s="1"/>
  <c r="M147" i="10"/>
  <c r="L147" i="10"/>
  <c r="J147" i="10"/>
  <c r="I147" i="10"/>
  <c r="G147" i="10"/>
  <c r="E147" i="10"/>
  <c r="D147" i="10"/>
  <c r="N144" i="10"/>
  <c r="K144" i="10"/>
  <c r="F144" i="10"/>
  <c r="H144" i="10" s="1"/>
  <c r="N143" i="10"/>
  <c r="N142" i="10" s="1"/>
  <c r="K143" i="10"/>
  <c r="K142" i="10" s="1"/>
  <c r="F143" i="10"/>
  <c r="F142" i="10" s="1"/>
  <c r="M142" i="10"/>
  <c r="L142" i="10"/>
  <c r="J142" i="10"/>
  <c r="I142" i="10"/>
  <c r="G142" i="10"/>
  <c r="E142" i="10"/>
  <c r="D142" i="10"/>
  <c r="N141" i="10"/>
  <c r="N140" i="10" s="1"/>
  <c r="K141" i="10"/>
  <c r="F141" i="10"/>
  <c r="M140" i="10"/>
  <c r="L140" i="10"/>
  <c r="K140" i="10"/>
  <c r="J140" i="10"/>
  <c r="I140" i="10"/>
  <c r="G140" i="10"/>
  <c r="E140" i="10"/>
  <c r="D140" i="10"/>
  <c r="N139" i="10"/>
  <c r="N138" i="10" s="1"/>
  <c r="K139" i="10"/>
  <c r="F139" i="10"/>
  <c r="H139" i="10" s="1"/>
  <c r="H138" i="10" s="1"/>
  <c r="M138" i="10"/>
  <c r="L138" i="10"/>
  <c r="K138" i="10"/>
  <c r="J138" i="10"/>
  <c r="I138" i="10"/>
  <c r="G138" i="10"/>
  <c r="E138" i="10"/>
  <c r="D138" i="10"/>
  <c r="N137" i="10"/>
  <c r="N136" i="10" s="1"/>
  <c r="K137" i="10"/>
  <c r="K136" i="10" s="1"/>
  <c r="F137" i="10"/>
  <c r="H137" i="10" s="1"/>
  <c r="H136" i="10" s="1"/>
  <c r="M136" i="10"/>
  <c r="L136" i="10"/>
  <c r="J136" i="10"/>
  <c r="I136" i="10"/>
  <c r="G136" i="10"/>
  <c r="E136" i="10"/>
  <c r="D136" i="10"/>
  <c r="N131" i="10"/>
  <c r="N130" i="10" s="1"/>
  <c r="K131" i="10"/>
  <c r="K130" i="10" s="1"/>
  <c r="F131" i="10"/>
  <c r="H131" i="10" s="1"/>
  <c r="H130" i="10" s="1"/>
  <c r="M130" i="10"/>
  <c r="L130" i="10"/>
  <c r="J130" i="10"/>
  <c r="I130" i="10"/>
  <c r="G130" i="10"/>
  <c r="E130" i="10"/>
  <c r="D130" i="10"/>
  <c r="N129" i="10"/>
  <c r="K129" i="10"/>
  <c r="H129" i="10"/>
  <c r="F129" i="10"/>
  <c r="N128" i="10"/>
  <c r="N127" i="10" s="1"/>
  <c r="K128" i="10"/>
  <c r="K127" i="10" s="1"/>
  <c r="H128" i="10"/>
  <c r="H127" i="10" s="1"/>
  <c r="H126" i="10" s="1"/>
  <c r="H125" i="10" s="1"/>
  <c r="F128" i="10"/>
  <c r="M127" i="10"/>
  <c r="L127" i="10"/>
  <c r="J127" i="10"/>
  <c r="I127" i="10"/>
  <c r="I126" i="10" s="1"/>
  <c r="I125" i="10" s="1"/>
  <c r="G127" i="10"/>
  <c r="F127" i="10"/>
  <c r="E127" i="10"/>
  <c r="D127" i="10"/>
  <c r="N124" i="10"/>
  <c r="N123" i="10" s="1"/>
  <c r="N122" i="10" s="1"/>
  <c r="N121" i="10" s="1"/>
  <c r="K124" i="10"/>
  <c r="K123" i="10" s="1"/>
  <c r="K122" i="10" s="1"/>
  <c r="K121" i="10" s="1"/>
  <c r="F124" i="10"/>
  <c r="H124" i="10" s="1"/>
  <c r="H123" i="10" s="1"/>
  <c r="H122" i="10" s="1"/>
  <c r="H121" i="10" s="1"/>
  <c r="M123" i="10"/>
  <c r="M122" i="10" s="1"/>
  <c r="M121" i="10" s="1"/>
  <c r="L123" i="10"/>
  <c r="J123" i="10"/>
  <c r="J122" i="10" s="1"/>
  <c r="J121" i="10" s="1"/>
  <c r="I123" i="10"/>
  <c r="I122" i="10" s="1"/>
  <c r="I121" i="10" s="1"/>
  <c r="E123" i="10"/>
  <c r="E122" i="10" s="1"/>
  <c r="E121" i="10" s="1"/>
  <c r="D123" i="10"/>
  <c r="D122" i="10" s="1"/>
  <c r="D121" i="10" s="1"/>
  <c r="L122" i="10"/>
  <c r="L121" i="10" s="1"/>
  <c r="F120" i="10"/>
  <c r="F119" i="10" s="1"/>
  <c r="F118" i="10" s="1"/>
  <c r="F117" i="10" s="1"/>
  <c r="L119" i="10"/>
  <c r="L118" i="10" s="1"/>
  <c r="L117" i="10" s="1"/>
  <c r="J119" i="10"/>
  <c r="J118" i="10" s="1"/>
  <c r="J117" i="10" s="1"/>
  <c r="I119" i="10"/>
  <c r="I118" i="10" s="1"/>
  <c r="I117" i="10" s="1"/>
  <c r="E119" i="10"/>
  <c r="E118" i="10" s="1"/>
  <c r="E117" i="10" s="1"/>
  <c r="D119" i="10"/>
  <c r="D118" i="10" s="1"/>
  <c r="D117" i="10" s="1"/>
  <c r="N116" i="10"/>
  <c r="N115" i="10" s="1"/>
  <c r="K116" i="10"/>
  <c r="K115" i="10" s="1"/>
  <c r="E116" i="10"/>
  <c r="F116" i="10" s="1"/>
  <c r="M115" i="10"/>
  <c r="L115" i="10"/>
  <c r="J115" i="10"/>
  <c r="I115" i="10"/>
  <c r="G115" i="10"/>
  <c r="D115" i="10"/>
  <c r="N114" i="10"/>
  <c r="K114" i="10"/>
  <c r="K113" i="10" s="1"/>
  <c r="F114" i="10"/>
  <c r="F113" i="10" s="1"/>
  <c r="N113" i="10"/>
  <c r="M113" i="10"/>
  <c r="L113" i="10"/>
  <c r="J113" i="10"/>
  <c r="I113" i="10"/>
  <c r="E113" i="10"/>
  <c r="D113" i="10"/>
  <c r="N112" i="10"/>
  <c r="N111" i="10" s="1"/>
  <c r="K112" i="10"/>
  <c r="K111" i="10" s="1"/>
  <c r="F112" i="10"/>
  <c r="M111" i="10"/>
  <c r="L111" i="10"/>
  <c r="J111" i="10"/>
  <c r="I111" i="10"/>
  <c r="E111" i="10"/>
  <c r="D111" i="10"/>
  <c r="N110" i="10"/>
  <c r="K110" i="10"/>
  <c r="E110" i="10"/>
  <c r="E107" i="10" s="1"/>
  <c r="N109" i="10"/>
  <c r="K109" i="10"/>
  <c r="F109" i="10"/>
  <c r="N108" i="10"/>
  <c r="K108" i="10"/>
  <c r="F108" i="10"/>
  <c r="M107" i="10"/>
  <c r="L107" i="10"/>
  <c r="J107" i="10"/>
  <c r="I107" i="10"/>
  <c r="D107" i="10"/>
  <c r="N106" i="10"/>
  <c r="K106" i="10"/>
  <c r="F106" i="10"/>
  <c r="H106" i="10" s="1"/>
  <c r="N105" i="10"/>
  <c r="K105" i="10"/>
  <c r="F105" i="10"/>
  <c r="H105" i="10" s="1"/>
  <c r="N104" i="10"/>
  <c r="K104" i="10"/>
  <c r="F104" i="10"/>
  <c r="H104" i="10" s="1"/>
  <c r="N103" i="10"/>
  <c r="K103" i="10"/>
  <c r="F103" i="10"/>
  <c r="M102" i="10"/>
  <c r="L102" i="10"/>
  <c r="J102" i="10"/>
  <c r="I102" i="10"/>
  <c r="E102" i="10"/>
  <c r="D102" i="10"/>
  <c r="N101" i="10"/>
  <c r="K101" i="10"/>
  <c r="F101" i="10"/>
  <c r="H101" i="10" s="1"/>
  <c r="N100" i="10"/>
  <c r="N99" i="10" s="1"/>
  <c r="K100" i="10"/>
  <c r="F100" i="10"/>
  <c r="M99" i="10"/>
  <c r="L99" i="10"/>
  <c r="J99" i="10"/>
  <c r="I99" i="10"/>
  <c r="G99" i="10"/>
  <c r="E99" i="10"/>
  <c r="D99" i="10"/>
  <c r="N98" i="10"/>
  <c r="N97" i="10" s="1"/>
  <c r="K98" i="10"/>
  <c r="K97" i="10" s="1"/>
  <c r="E98" i="10"/>
  <c r="F98" i="10" s="1"/>
  <c r="M97" i="10"/>
  <c r="L97" i="10"/>
  <c r="J97" i="10"/>
  <c r="I97" i="10"/>
  <c r="G97" i="10"/>
  <c r="D97" i="10"/>
  <c r="N96" i="10"/>
  <c r="K96" i="10"/>
  <c r="F96" i="10"/>
  <c r="N95" i="10"/>
  <c r="N94" i="10" s="1"/>
  <c r="K95" i="10"/>
  <c r="F95" i="10"/>
  <c r="H95" i="10" s="1"/>
  <c r="M94" i="10"/>
  <c r="L94" i="10"/>
  <c r="J94" i="10"/>
  <c r="I94" i="10"/>
  <c r="G94" i="10"/>
  <c r="E94" i="10"/>
  <c r="D94" i="10"/>
  <c r="N93" i="10"/>
  <c r="N92" i="10" s="1"/>
  <c r="K93" i="10"/>
  <c r="F93" i="10"/>
  <c r="F92" i="10" s="1"/>
  <c r="M92" i="10"/>
  <c r="L92" i="10"/>
  <c r="K92" i="10"/>
  <c r="J92" i="10"/>
  <c r="I92" i="10"/>
  <c r="G92" i="10"/>
  <c r="E92" i="10"/>
  <c r="D92" i="10"/>
  <c r="N91" i="10"/>
  <c r="N90" i="10" s="1"/>
  <c r="K91" i="10"/>
  <c r="K90" i="10" s="1"/>
  <c r="F91" i="10"/>
  <c r="H91" i="10" s="1"/>
  <c r="H90" i="10" s="1"/>
  <c r="M90" i="10"/>
  <c r="L90" i="10"/>
  <c r="J90" i="10"/>
  <c r="I90" i="10"/>
  <c r="G90" i="10"/>
  <c r="E90" i="10"/>
  <c r="D90" i="10"/>
  <c r="N87" i="10"/>
  <c r="N86" i="10" s="1"/>
  <c r="N85" i="10" s="1"/>
  <c r="K87" i="10"/>
  <c r="K86" i="10" s="1"/>
  <c r="K85" i="10" s="1"/>
  <c r="F87" i="10"/>
  <c r="F86" i="10" s="1"/>
  <c r="F85" i="10" s="1"/>
  <c r="M86" i="10"/>
  <c r="M85" i="10" s="1"/>
  <c r="L86" i="10"/>
  <c r="L85" i="10" s="1"/>
  <c r="J86" i="10"/>
  <c r="J85" i="10" s="1"/>
  <c r="I86" i="10"/>
  <c r="I85" i="10" s="1"/>
  <c r="G86" i="10"/>
  <c r="E86" i="10"/>
  <c r="E85" i="10" s="1"/>
  <c r="D86" i="10"/>
  <c r="D85" i="10" s="1"/>
  <c r="G85" i="10"/>
  <c r="N83" i="10"/>
  <c r="N82" i="10" s="1"/>
  <c r="K83" i="10"/>
  <c r="K82" i="10" s="1"/>
  <c r="F83" i="10"/>
  <c r="F82" i="10" s="1"/>
  <c r="M82" i="10"/>
  <c r="J82" i="10"/>
  <c r="G82" i="10"/>
  <c r="E82" i="10"/>
  <c r="D82" i="10"/>
  <c r="N81" i="10"/>
  <c r="K81" i="10"/>
  <c r="K79" i="10" s="1"/>
  <c r="E81" i="10"/>
  <c r="N80" i="10"/>
  <c r="K80" i="10"/>
  <c r="F80" i="10"/>
  <c r="M79" i="10"/>
  <c r="L79" i="10"/>
  <c r="J79" i="10"/>
  <c r="I79" i="10"/>
  <c r="D79" i="10"/>
  <c r="N78" i="10"/>
  <c r="K78" i="10"/>
  <c r="K77" i="10" s="1"/>
  <c r="F78" i="10"/>
  <c r="N77" i="10"/>
  <c r="M77" i="10"/>
  <c r="J77" i="10"/>
  <c r="G77" i="10"/>
  <c r="E77" i="10"/>
  <c r="D77" i="10"/>
  <c r="N76" i="10"/>
  <c r="K76" i="10"/>
  <c r="F76" i="10"/>
  <c r="N75" i="10"/>
  <c r="K75" i="10"/>
  <c r="K73" i="10" s="1"/>
  <c r="F75" i="10"/>
  <c r="H75" i="10" s="1"/>
  <c r="N74" i="10"/>
  <c r="K74" i="10"/>
  <c r="F74" i="10"/>
  <c r="M73" i="10"/>
  <c r="J73" i="10"/>
  <c r="E73" i="10"/>
  <c r="D73" i="10"/>
  <c r="N72" i="10"/>
  <c r="N71" i="10" s="1"/>
  <c r="K72" i="10"/>
  <c r="K71" i="10" s="1"/>
  <c r="F72" i="10"/>
  <c r="F71" i="10" s="1"/>
  <c r="M71" i="10"/>
  <c r="L71" i="10"/>
  <c r="J71" i="10"/>
  <c r="I71" i="10"/>
  <c r="G71" i="10"/>
  <c r="E71" i="10"/>
  <c r="D71" i="10"/>
  <c r="N70" i="10"/>
  <c r="N69" i="10" s="1"/>
  <c r="K70" i="10"/>
  <c r="K69" i="10" s="1"/>
  <c r="F70" i="10"/>
  <c r="M69" i="10"/>
  <c r="L69" i="10"/>
  <c r="J69" i="10"/>
  <c r="I69" i="10"/>
  <c r="E69" i="10"/>
  <c r="D69" i="10"/>
  <c r="N68" i="10"/>
  <c r="K68" i="10"/>
  <c r="E68" i="10"/>
  <c r="D68" i="10"/>
  <c r="N67" i="10"/>
  <c r="N66" i="10" s="1"/>
  <c r="K67" i="10"/>
  <c r="E67" i="10"/>
  <c r="E66" i="10" s="1"/>
  <c r="M66" i="10"/>
  <c r="L66" i="10"/>
  <c r="J66" i="10"/>
  <c r="I66" i="10"/>
  <c r="D66" i="10"/>
  <c r="N65" i="10"/>
  <c r="K65" i="10"/>
  <c r="F65" i="10"/>
  <c r="H65" i="10" s="1"/>
  <c r="N64" i="10"/>
  <c r="N63" i="10" s="1"/>
  <c r="K64" i="10"/>
  <c r="D64" i="10"/>
  <c r="F64" i="10" s="1"/>
  <c r="M63" i="10"/>
  <c r="L63" i="10"/>
  <c r="J63" i="10"/>
  <c r="I63" i="10"/>
  <c r="G63" i="10"/>
  <c r="E63" i="10"/>
  <c r="N62" i="10"/>
  <c r="K62" i="10"/>
  <c r="F62" i="10"/>
  <c r="H62" i="10" s="1"/>
  <c r="N61" i="10"/>
  <c r="K61" i="10"/>
  <c r="F61" i="10"/>
  <c r="M60" i="10"/>
  <c r="L60" i="10"/>
  <c r="J60" i="10"/>
  <c r="I60" i="10"/>
  <c r="G60" i="10"/>
  <c r="E60" i="10"/>
  <c r="D60" i="10"/>
  <c r="N59" i="10"/>
  <c r="N58" i="10" s="1"/>
  <c r="K59" i="10"/>
  <c r="K58" i="10" s="1"/>
  <c r="F59" i="10"/>
  <c r="M58" i="10"/>
  <c r="L58" i="10"/>
  <c r="J58" i="10"/>
  <c r="I58" i="10"/>
  <c r="G58" i="10"/>
  <c r="E58" i="10"/>
  <c r="D58" i="10"/>
  <c r="N55" i="10"/>
  <c r="K55" i="10"/>
  <c r="F55" i="10"/>
  <c r="H55" i="10" s="1"/>
  <c r="N54" i="10"/>
  <c r="K54" i="10"/>
  <c r="F54" i="10"/>
  <c r="H54" i="10" s="1"/>
  <c r="N53" i="10"/>
  <c r="K53" i="10"/>
  <c r="F53" i="10"/>
  <c r="H53" i="10" s="1"/>
  <c r="N52" i="10"/>
  <c r="K52" i="10"/>
  <c r="F52" i="10"/>
  <c r="M51" i="10"/>
  <c r="M50" i="10" s="1"/>
  <c r="L51" i="10"/>
  <c r="L50" i="10" s="1"/>
  <c r="J51" i="10"/>
  <c r="J50" i="10" s="1"/>
  <c r="I51" i="10"/>
  <c r="I50" i="10" s="1"/>
  <c r="E51" i="10"/>
  <c r="E50" i="10" s="1"/>
  <c r="D51" i="10"/>
  <c r="D50" i="10" s="1"/>
  <c r="N49" i="10"/>
  <c r="K49" i="10"/>
  <c r="K48" i="10" s="1"/>
  <c r="K47" i="10" s="1"/>
  <c r="F49" i="10"/>
  <c r="F48" i="10" s="1"/>
  <c r="F47" i="10" s="1"/>
  <c r="N48" i="10"/>
  <c r="N47" i="10" s="1"/>
  <c r="M48" i="10"/>
  <c r="M47" i="10" s="1"/>
  <c r="L48" i="10"/>
  <c r="L47" i="10" s="1"/>
  <c r="J48" i="10"/>
  <c r="J47" i="10" s="1"/>
  <c r="I48" i="10"/>
  <c r="I47" i="10" s="1"/>
  <c r="I46" i="10" s="1"/>
  <c r="G48" i="10"/>
  <c r="G47" i="10" s="1"/>
  <c r="E48" i="10"/>
  <c r="E47" i="10" s="1"/>
  <c r="D48" i="10"/>
  <c r="D47" i="10" s="1"/>
  <c r="N45" i="10"/>
  <c r="N44" i="10" s="1"/>
  <c r="N43" i="10" s="1"/>
  <c r="N42" i="10" s="1"/>
  <c r="K45" i="10"/>
  <c r="K44" i="10" s="1"/>
  <c r="F45" i="10"/>
  <c r="H45" i="10" s="1"/>
  <c r="H44" i="10" s="1"/>
  <c r="H43" i="10" s="1"/>
  <c r="H42" i="10" s="1"/>
  <c r="M44" i="10"/>
  <c r="M43" i="10" s="1"/>
  <c r="M42" i="10" s="1"/>
  <c r="L44" i="10"/>
  <c r="L43" i="10" s="1"/>
  <c r="L42" i="10" s="1"/>
  <c r="J44" i="10"/>
  <c r="J43" i="10" s="1"/>
  <c r="J42" i="10" s="1"/>
  <c r="I44" i="10"/>
  <c r="I43" i="10" s="1"/>
  <c r="I42" i="10" s="1"/>
  <c r="G44" i="10"/>
  <c r="G43" i="10" s="1"/>
  <c r="G42" i="10" s="1"/>
  <c r="E44" i="10"/>
  <c r="E43" i="10" s="1"/>
  <c r="E42" i="10" s="1"/>
  <c r="D44" i="10"/>
  <c r="D43" i="10" s="1"/>
  <c r="D42" i="10" s="1"/>
  <c r="K43" i="10"/>
  <c r="K42" i="10" s="1"/>
  <c r="N41" i="10"/>
  <c r="K41" i="10"/>
  <c r="F41" i="10"/>
  <c r="H41" i="10" s="1"/>
  <c r="N40" i="10"/>
  <c r="K40" i="10"/>
  <c r="F40" i="10"/>
  <c r="H40" i="10" s="1"/>
  <c r="N39" i="10"/>
  <c r="K39" i="10"/>
  <c r="F39" i="10"/>
  <c r="H39" i="10" s="1"/>
  <c r="M38" i="10"/>
  <c r="L38" i="10"/>
  <c r="J38" i="10"/>
  <c r="I38" i="10"/>
  <c r="G38" i="10"/>
  <c r="E38" i="10"/>
  <c r="D38" i="10"/>
  <c r="N37" i="10"/>
  <c r="N36" i="10" s="1"/>
  <c r="K37" i="10"/>
  <c r="K36" i="10" s="1"/>
  <c r="F37" i="10"/>
  <c r="H37" i="10" s="1"/>
  <c r="H36" i="10" s="1"/>
  <c r="M36" i="10"/>
  <c r="L36" i="10"/>
  <c r="J36" i="10"/>
  <c r="I36" i="10"/>
  <c r="G36" i="10"/>
  <c r="E36" i="10"/>
  <c r="D36" i="10"/>
  <c r="D35" i="10" s="1"/>
  <c r="N34" i="10"/>
  <c r="K34" i="10"/>
  <c r="F34" i="10"/>
  <c r="H34" i="10" s="1"/>
  <c r="N33" i="10"/>
  <c r="K33" i="10"/>
  <c r="F33" i="10"/>
  <c r="H33" i="10" s="1"/>
  <c r="M32" i="10"/>
  <c r="L32" i="10"/>
  <c r="J32" i="10"/>
  <c r="I32" i="10"/>
  <c r="G32" i="10"/>
  <c r="E32" i="10"/>
  <c r="D32" i="10"/>
  <c r="N31" i="10"/>
  <c r="K31" i="10"/>
  <c r="E31" i="10"/>
  <c r="E29" i="10" s="1"/>
  <c r="N30" i="10"/>
  <c r="K30" i="10"/>
  <c r="F30" i="10"/>
  <c r="H30" i="10" s="1"/>
  <c r="M29" i="10"/>
  <c r="L29" i="10"/>
  <c r="J29" i="10"/>
  <c r="I29" i="10"/>
  <c r="G29" i="10"/>
  <c r="D29" i="10"/>
  <c r="N28" i="10"/>
  <c r="N27" i="10" s="1"/>
  <c r="K28" i="10"/>
  <c r="K27" i="10" s="1"/>
  <c r="F28" i="10"/>
  <c r="H28" i="10" s="1"/>
  <c r="H27" i="10" s="1"/>
  <c r="M27" i="10"/>
  <c r="L27" i="10"/>
  <c r="J27" i="10"/>
  <c r="I27" i="10"/>
  <c r="G27" i="10"/>
  <c r="E27" i="10"/>
  <c r="D27" i="10"/>
  <c r="N24" i="10"/>
  <c r="K24" i="10"/>
  <c r="F24" i="10"/>
  <c r="N21" i="10"/>
  <c r="K21" i="10"/>
  <c r="F21" i="10"/>
  <c r="N20" i="10"/>
  <c r="K20" i="10"/>
  <c r="F20" i="10"/>
  <c r="M19" i="10"/>
  <c r="J19" i="10"/>
  <c r="E19" i="10"/>
  <c r="D19" i="10"/>
  <c r="N18" i="10"/>
  <c r="N17" i="10" s="1"/>
  <c r="K18" i="10"/>
  <c r="K17" i="10" s="1"/>
  <c r="F18" i="10"/>
  <c r="H18" i="10" s="1"/>
  <c r="H17" i="10" s="1"/>
  <c r="M17" i="10"/>
  <c r="L17" i="10"/>
  <c r="L16" i="10" s="1"/>
  <c r="L15" i="10" s="1"/>
  <c r="J17" i="10"/>
  <c r="I17" i="10"/>
  <c r="I16" i="10" s="1"/>
  <c r="I15" i="10" s="1"/>
  <c r="G17" i="10"/>
  <c r="E17" i="10"/>
  <c r="D17" i="10"/>
  <c r="N14" i="10"/>
  <c r="N13" i="10" s="1"/>
  <c r="N12" i="10" s="1"/>
  <c r="N11" i="10" s="1"/>
  <c r="K14" i="10"/>
  <c r="F14" i="10"/>
  <c r="H14" i="10" s="1"/>
  <c r="H13" i="10" s="1"/>
  <c r="H12" i="10" s="1"/>
  <c r="H11" i="10" s="1"/>
  <c r="M13" i="10"/>
  <c r="M12" i="10" s="1"/>
  <c r="M11" i="10" s="1"/>
  <c r="L13" i="10"/>
  <c r="K13" i="10"/>
  <c r="K12" i="10" s="1"/>
  <c r="K11" i="10" s="1"/>
  <c r="J13" i="10"/>
  <c r="J12" i="10" s="1"/>
  <c r="J11" i="10" s="1"/>
  <c r="I13" i="10"/>
  <c r="I12" i="10" s="1"/>
  <c r="I11" i="10" s="1"/>
  <c r="G13" i="10"/>
  <c r="G12" i="10" s="1"/>
  <c r="G11" i="10" s="1"/>
  <c r="E13" i="10"/>
  <c r="E12" i="10" s="1"/>
  <c r="E11" i="10" s="1"/>
  <c r="D13" i="10"/>
  <c r="D12" i="10" s="1"/>
  <c r="D11" i="10" s="1"/>
  <c r="L12" i="10"/>
  <c r="L11" i="10" s="1"/>
  <c r="N10" i="10"/>
  <c r="N9" i="10" s="1"/>
  <c r="N8" i="10" s="1"/>
  <c r="N7" i="10" s="1"/>
  <c r="K10" i="10"/>
  <c r="K9" i="10" s="1"/>
  <c r="K8" i="10" s="1"/>
  <c r="K7" i="10" s="1"/>
  <c r="F10" i="10"/>
  <c r="H10" i="10" s="1"/>
  <c r="H9" i="10" s="1"/>
  <c r="H8" i="10" s="1"/>
  <c r="H7" i="10" s="1"/>
  <c r="M9" i="10"/>
  <c r="M8" i="10" s="1"/>
  <c r="M7" i="10" s="1"/>
  <c r="L9" i="10"/>
  <c r="L8" i="10" s="1"/>
  <c r="L7" i="10" s="1"/>
  <c r="J9" i="10"/>
  <c r="J8" i="10" s="1"/>
  <c r="J7" i="10" s="1"/>
  <c r="I9" i="10"/>
  <c r="I8" i="10" s="1"/>
  <c r="I7" i="10" s="1"/>
  <c r="G9" i="10"/>
  <c r="F9" i="10"/>
  <c r="F8" i="10" s="1"/>
  <c r="F7" i="10" s="1"/>
  <c r="E9" i="10"/>
  <c r="E8" i="10" s="1"/>
  <c r="E7" i="10" s="1"/>
  <c r="D9" i="10"/>
  <c r="D8" i="10" s="1"/>
  <c r="D7" i="10" s="1"/>
  <c r="G8" i="10"/>
  <c r="G7" i="10" s="1"/>
  <c r="F52" i="11"/>
  <c r="H52" i="11" s="1"/>
  <c r="H51" i="11" s="1"/>
  <c r="H50" i="11" s="1"/>
  <c r="J51" i="11"/>
  <c r="J50" i="11" s="1"/>
  <c r="I51" i="11"/>
  <c r="I50" i="11" s="1"/>
  <c r="G51" i="11"/>
  <c r="G50" i="11" s="1"/>
  <c r="E51" i="11"/>
  <c r="E50" i="11" s="1"/>
  <c r="D51" i="11"/>
  <c r="D50" i="11"/>
  <c r="F49" i="11"/>
  <c r="H49" i="11" s="1"/>
  <c r="H48" i="11" s="1"/>
  <c r="H47" i="11" s="1"/>
  <c r="J48" i="11"/>
  <c r="J47" i="11" s="1"/>
  <c r="I48" i="11"/>
  <c r="I47" i="11" s="1"/>
  <c r="G48" i="11"/>
  <c r="G47" i="11" s="1"/>
  <c r="E48" i="11"/>
  <c r="E47" i="11" s="1"/>
  <c r="D48" i="11"/>
  <c r="D47" i="11"/>
  <c r="F46" i="11"/>
  <c r="H46" i="11" s="1"/>
  <c r="F44" i="11"/>
  <c r="F43" i="11"/>
  <c r="H43" i="11" s="1"/>
  <c r="J42" i="11"/>
  <c r="I42" i="11"/>
  <c r="E42" i="11"/>
  <c r="D42" i="11"/>
  <c r="F41" i="11"/>
  <c r="J40" i="11"/>
  <c r="I40" i="11"/>
  <c r="F40" i="11"/>
  <c r="E40" i="11"/>
  <c r="D40" i="11"/>
  <c r="F39" i="11"/>
  <c r="H39" i="11" s="1"/>
  <c r="F38" i="11"/>
  <c r="H38" i="11" s="1"/>
  <c r="J37" i="11"/>
  <c r="I37" i="11"/>
  <c r="G37" i="11"/>
  <c r="E37" i="11"/>
  <c r="D37" i="11"/>
  <c r="J33" i="11"/>
  <c r="I33" i="11"/>
  <c r="H33" i="11"/>
  <c r="G33" i="11"/>
  <c r="F33" i="11"/>
  <c r="E33" i="11"/>
  <c r="D33" i="11"/>
  <c r="F32" i="11"/>
  <c r="H32" i="11" s="1"/>
  <c r="H31" i="11" s="1"/>
  <c r="J31" i="11"/>
  <c r="I31" i="11"/>
  <c r="G31" i="11"/>
  <c r="E31" i="11"/>
  <c r="D31" i="11"/>
  <c r="F30" i="11"/>
  <c r="J29" i="11"/>
  <c r="I29" i="11"/>
  <c r="G29" i="11"/>
  <c r="F29" i="11"/>
  <c r="E29" i="11"/>
  <c r="D29" i="11"/>
  <c r="D28" i="11" s="1"/>
  <c r="J26" i="11"/>
  <c r="I26" i="11"/>
  <c r="H26" i="11"/>
  <c r="G26" i="11"/>
  <c r="F26" i="11"/>
  <c r="E26" i="11"/>
  <c r="D26" i="11"/>
  <c r="J24" i="11"/>
  <c r="J23" i="11" s="1"/>
  <c r="I24" i="11"/>
  <c r="H24" i="11"/>
  <c r="G24" i="11"/>
  <c r="F24" i="11"/>
  <c r="E24" i="11"/>
  <c r="D24" i="11"/>
  <c r="F23" i="11"/>
  <c r="F22" i="11"/>
  <c r="H22" i="11" s="1"/>
  <c r="F21" i="11"/>
  <c r="H21" i="11" s="1"/>
  <c r="F20" i="11"/>
  <c r="J19" i="11"/>
  <c r="I19" i="11"/>
  <c r="G19" i="11"/>
  <c r="E19" i="11"/>
  <c r="D19" i="11"/>
  <c r="F18" i="11"/>
  <c r="F16" i="11" s="1"/>
  <c r="F17" i="11"/>
  <c r="H17" i="11" s="1"/>
  <c r="J16" i="11"/>
  <c r="I16" i="11"/>
  <c r="G16" i="11"/>
  <c r="E16" i="11"/>
  <c r="D16" i="11"/>
  <c r="F15" i="11"/>
  <c r="F14" i="11"/>
  <c r="J13" i="11"/>
  <c r="I13" i="11"/>
  <c r="E13" i="11"/>
  <c r="D13" i="11"/>
  <c r="F12" i="11"/>
  <c r="H12" i="11" s="1"/>
  <c r="J11" i="11"/>
  <c r="I11" i="11"/>
  <c r="D11" i="11"/>
  <c r="F11" i="11" s="1"/>
  <c r="J10" i="11"/>
  <c r="I10" i="11"/>
  <c r="F10" i="11"/>
  <c r="D10" i="11"/>
  <c r="E9" i="11"/>
  <c r="D9" i="11"/>
  <c r="P257" i="9"/>
  <c r="P256" i="9" s="1"/>
  <c r="P255" i="9" s="1"/>
  <c r="P254" i="9" s="1"/>
  <c r="P253" i="9" s="1"/>
  <c r="P252" i="9" s="1"/>
  <c r="M257" i="9"/>
  <c r="H257" i="9"/>
  <c r="O256" i="9"/>
  <c r="N256" i="9"/>
  <c r="N255" i="9" s="1"/>
  <c r="N254" i="9" s="1"/>
  <c r="N253" i="9" s="1"/>
  <c r="N252" i="9" s="1"/>
  <c r="M256" i="9"/>
  <c r="M255" i="9" s="1"/>
  <c r="M254" i="9" s="1"/>
  <c r="M253" i="9" s="1"/>
  <c r="M252" i="9" s="1"/>
  <c r="L256" i="9"/>
  <c r="L255" i="9" s="1"/>
  <c r="L254" i="9" s="1"/>
  <c r="L253" i="9" s="1"/>
  <c r="L252" i="9" s="1"/>
  <c r="K256" i="9"/>
  <c r="K255" i="9" s="1"/>
  <c r="K254" i="9" s="1"/>
  <c r="K253" i="9" s="1"/>
  <c r="K252" i="9" s="1"/>
  <c r="I256" i="9"/>
  <c r="I255" i="9" s="1"/>
  <c r="I254" i="9" s="1"/>
  <c r="I253" i="9" s="1"/>
  <c r="I252" i="9" s="1"/>
  <c r="G256" i="9"/>
  <c r="G255" i="9" s="1"/>
  <c r="G254" i="9" s="1"/>
  <c r="G253" i="9" s="1"/>
  <c r="G252" i="9" s="1"/>
  <c r="F256" i="9"/>
  <c r="F255" i="9" s="1"/>
  <c r="F254" i="9" s="1"/>
  <c r="O255" i="9"/>
  <c r="O254" i="9"/>
  <c r="O253" i="9" s="1"/>
  <c r="O252" i="9" s="1"/>
  <c r="F253" i="9"/>
  <c r="F252" i="9" s="1"/>
  <c r="P251" i="9"/>
  <c r="P250" i="9" s="1"/>
  <c r="P249" i="9" s="1"/>
  <c r="P248" i="9" s="1"/>
  <c r="P247" i="9" s="1"/>
  <c r="M251" i="9"/>
  <c r="M250" i="9" s="1"/>
  <c r="M249" i="9" s="1"/>
  <c r="M248" i="9" s="1"/>
  <c r="M247" i="9" s="1"/>
  <c r="M246" i="9" s="1"/>
  <c r="H251" i="9"/>
  <c r="J251" i="9" s="1"/>
  <c r="J250" i="9" s="1"/>
  <c r="J249" i="9" s="1"/>
  <c r="J248" i="9" s="1"/>
  <c r="J247" i="9" s="1"/>
  <c r="J246" i="9" s="1"/>
  <c r="O250" i="9"/>
  <c r="N250" i="9"/>
  <c r="L250" i="9"/>
  <c r="K250" i="9"/>
  <c r="I250" i="9"/>
  <c r="I249" i="9" s="1"/>
  <c r="I248" i="9" s="1"/>
  <c r="I247" i="9" s="1"/>
  <c r="I246" i="9" s="1"/>
  <c r="H250" i="9"/>
  <c r="H249" i="9" s="1"/>
  <c r="H248" i="9" s="1"/>
  <c r="H247" i="9" s="1"/>
  <c r="H246" i="9" s="1"/>
  <c r="G250" i="9"/>
  <c r="G249" i="9" s="1"/>
  <c r="G248" i="9" s="1"/>
  <c r="G247" i="9" s="1"/>
  <c r="G246" i="9" s="1"/>
  <c r="F250" i="9"/>
  <c r="O249" i="9"/>
  <c r="O248" i="9" s="1"/>
  <c r="O247" i="9" s="1"/>
  <c r="O246" i="9" s="1"/>
  <c r="N249" i="9"/>
  <c r="N248" i="9" s="1"/>
  <c r="N247" i="9" s="1"/>
  <c r="N246" i="9" s="1"/>
  <c r="L249" i="9"/>
  <c r="L248" i="9" s="1"/>
  <c r="L247" i="9" s="1"/>
  <c r="L246" i="9" s="1"/>
  <c r="K249" i="9"/>
  <c r="K248" i="9" s="1"/>
  <c r="K247" i="9" s="1"/>
  <c r="K246" i="9" s="1"/>
  <c r="F249" i="9"/>
  <c r="F248" i="9" s="1"/>
  <c r="F247" i="9" s="1"/>
  <c r="F246" i="9" s="1"/>
  <c r="P246" i="9"/>
  <c r="P245" i="9"/>
  <c r="M245" i="9"/>
  <c r="M244" i="9" s="1"/>
  <c r="M243" i="9" s="1"/>
  <c r="M241" i="9" s="1"/>
  <c r="M240" i="9" s="1"/>
  <c r="H245" i="9"/>
  <c r="J245" i="9" s="1"/>
  <c r="J244" i="9" s="1"/>
  <c r="J243" i="9" s="1"/>
  <c r="J241" i="9" s="1"/>
  <c r="J240" i="9" s="1"/>
  <c r="P244" i="9"/>
  <c r="P243" i="9" s="1"/>
  <c r="P241" i="9" s="1"/>
  <c r="P240" i="9" s="1"/>
  <c r="O244" i="9"/>
  <c r="O243" i="9" s="1"/>
  <c r="O241" i="9" s="1"/>
  <c r="O240" i="9" s="1"/>
  <c r="N244" i="9"/>
  <c r="N243" i="9" s="1"/>
  <c r="N241" i="9" s="1"/>
  <c r="N240" i="9" s="1"/>
  <c r="L244" i="9"/>
  <c r="L243" i="9" s="1"/>
  <c r="L241" i="9" s="1"/>
  <c r="L240" i="9" s="1"/>
  <c r="K244" i="9"/>
  <c r="I244" i="9"/>
  <c r="I243" i="9" s="1"/>
  <c r="I241" i="9" s="1"/>
  <c r="I240" i="9" s="1"/>
  <c r="G244" i="9"/>
  <c r="G243" i="9" s="1"/>
  <c r="G241" i="9" s="1"/>
  <c r="G240" i="9" s="1"/>
  <c r="F244" i="9"/>
  <c r="K243" i="9"/>
  <c r="K241" i="9" s="1"/>
  <c r="K240" i="9" s="1"/>
  <c r="F243" i="9"/>
  <c r="F241" i="9" s="1"/>
  <c r="F240" i="9" s="1"/>
  <c r="P239" i="9"/>
  <c r="M239" i="9"/>
  <c r="H239" i="9"/>
  <c r="J239" i="9" s="1"/>
  <c r="P238" i="9"/>
  <c r="M238" i="9"/>
  <c r="H238" i="9"/>
  <c r="J238" i="9" s="1"/>
  <c r="P237" i="9"/>
  <c r="M237" i="9"/>
  <c r="H237" i="9"/>
  <c r="O236" i="9"/>
  <c r="O235" i="9" s="1"/>
  <c r="N236" i="9"/>
  <c r="L236" i="9"/>
  <c r="L235" i="9" s="1"/>
  <c r="K236" i="9"/>
  <c r="K235" i="9" s="1"/>
  <c r="I236" i="9"/>
  <c r="I235" i="9" s="1"/>
  <c r="G236" i="9"/>
  <c r="G235" i="9" s="1"/>
  <c r="F236" i="9"/>
  <c r="N235" i="9"/>
  <c r="F235" i="9"/>
  <c r="P234" i="9"/>
  <c r="M234" i="9"/>
  <c r="H234" i="9"/>
  <c r="J234" i="9" s="1"/>
  <c r="P233" i="9"/>
  <c r="P232" i="9" s="1"/>
  <c r="M233" i="9"/>
  <c r="H233" i="9"/>
  <c r="H232" i="9" s="1"/>
  <c r="O232" i="9"/>
  <c r="N232" i="9"/>
  <c r="M232" i="9"/>
  <c r="L232" i="9"/>
  <c r="K232" i="9"/>
  <c r="I232" i="9"/>
  <c r="G232" i="9"/>
  <c r="F232" i="9"/>
  <c r="P231" i="9"/>
  <c r="P229" i="9" s="1"/>
  <c r="M231" i="9"/>
  <c r="G231" i="9"/>
  <c r="G229" i="9" s="1"/>
  <c r="P230" i="9"/>
  <c r="M230" i="9"/>
  <c r="H230" i="9"/>
  <c r="J230" i="9" s="1"/>
  <c r="O229" i="9"/>
  <c r="O226" i="9" s="1"/>
  <c r="N229" i="9"/>
  <c r="L229" i="9"/>
  <c r="K229" i="9"/>
  <c r="I229" i="9"/>
  <c r="F229" i="9"/>
  <c r="P228" i="9"/>
  <c r="P227" i="9" s="1"/>
  <c r="M228" i="9"/>
  <c r="H228" i="9"/>
  <c r="J228" i="9" s="1"/>
  <c r="J227" i="9" s="1"/>
  <c r="O227" i="9"/>
  <c r="N227" i="9"/>
  <c r="M227" i="9"/>
  <c r="L227" i="9"/>
  <c r="L226" i="9" s="1"/>
  <c r="K227" i="9"/>
  <c r="I227" i="9"/>
  <c r="G227" i="9"/>
  <c r="G226" i="9" s="1"/>
  <c r="F227" i="9"/>
  <c r="K226" i="9"/>
  <c r="P223" i="9"/>
  <c r="P222" i="9" s="1"/>
  <c r="M223" i="9"/>
  <c r="H223" i="9"/>
  <c r="O222" i="9"/>
  <c r="N222" i="9"/>
  <c r="M222" i="9"/>
  <c r="L222" i="9"/>
  <c r="K222" i="9"/>
  <c r="I222" i="9"/>
  <c r="G222" i="9"/>
  <c r="F222" i="9"/>
  <c r="P221" i="9"/>
  <c r="M221" i="9"/>
  <c r="H221" i="9"/>
  <c r="J221" i="9" s="1"/>
  <c r="P220" i="9"/>
  <c r="M220" i="9"/>
  <c r="H220" i="9"/>
  <c r="O219" i="9"/>
  <c r="N219" i="9"/>
  <c r="L219" i="9"/>
  <c r="K219" i="9"/>
  <c r="I219" i="9"/>
  <c r="I215" i="9" s="1"/>
  <c r="G219" i="9"/>
  <c r="F219" i="9"/>
  <c r="P218" i="9"/>
  <c r="M218" i="9"/>
  <c r="H218" i="9"/>
  <c r="J218" i="9" s="1"/>
  <c r="P217" i="9"/>
  <c r="P216" i="9" s="1"/>
  <c r="M217" i="9"/>
  <c r="H217" i="9"/>
  <c r="O216" i="9"/>
  <c r="N216" i="9"/>
  <c r="L216" i="9"/>
  <c r="K216" i="9"/>
  <c r="K215" i="9" s="1"/>
  <c r="K214" i="9" s="1"/>
  <c r="K213" i="9" s="1"/>
  <c r="I216" i="9"/>
  <c r="G216" i="9"/>
  <c r="F216" i="9"/>
  <c r="I214" i="9"/>
  <c r="I213" i="9" s="1"/>
  <c r="P212" i="9"/>
  <c r="M212" i="9"/>
  <c r="M211" i="9" s="1"/>
  <c r="M210" i="9" s="1"/>
  <c r="M209" i="9" s="1"/>
  <c r="M208" i="9" s="1"/>
  <c r="H212" i="9"/>
  <c r="J212" i="9" s="1"/>
  <c r="J211" i="9" s="1"/>
  <c r="J210" i="9" s="1"/>
  <c r="J209" i="9" s="1"/>
  <c r="J208" i="9" s="1"/>
  <c r="P211" i="9"/>
  <c r="O211" i="9"/>
  <c r="O210" i="9" s="1"/>
  <c r="O209" i="9" s="1"/>
  <c r="N211" i="9"/>
  <c r="N210" i="9" s="1"/>
  <c r="N209" i="9" s="1"/>
  <c r="N208" i="9" s="1"/>
  <c r="L211" i="9"/>
  <c r="K211" i="9"/>
  <c r="K210" i="9" s="1"/>
  <c r="K209" i="9" s="1"/>
  <c r="K208" i="9" s="1"/>
  <c r="I211" i="9"/>
  <c r="I210" i="9" s="1"/>
  <c r="I209" i="9" s="1"/>
  <c r="I208" i="9" s="1"/>
  <c r="G211" i="9"/>
  <c r="G210" i="9" s="1"/>
  <c r="G209" i="9" s="1"/>
  <c r="G208" i="9" s="1"/>
  <c r="F211" i="9"/>
  <c r="P210" i="9"/>
  <c r="P209" i="9" s="1"/>
  <c r="P208" i="9" s="1"/>
  <c r="L210" i="9"/>
  <c r="L209" i="9" s="1"/>
  <c r="L208" i="9" s="1"/>
  <c r="F210" i="9"/>
  <c r="F209" i="9" s="1"/>
  <c r="F208" i="9" s="1"/>
  <c r="O208" i="9"/>
  <c r="P206" i="9"/>
  <c r="P205" i="9" s="1"/>
  <c r="P204" i="9" s="1"/>
  <c r="M206" i="9"/>
  <c r="H206" i="9"/>
  <c r="O205" i="9"/>
  <c r="N205" i="9"/>
  <c r="N204" i="9" s="1"/>
  <c r="N202" i="9" s="1"/>
  <c r="M205" i="9"/>
  <c r="M204" i="9" s="1"/>
  <c r="M202" i="9" s="1"/>
  <c r="M201" i="9" s="1"/>
  <c r="L205" i="9"/>
  <c r="L204" i="9" s="1"/>
  <c r="L202" i="9" s="1"/>
  <c r="L201" i="9" s="1"/>
  <c r="K205" i="9"/>
  <c r="K204" i="9" s="1"/>
  <c r="K202" i="9" s="1"/>
  <c r="K201" i="9" s="1"/>
  <c r="I205" i="9"/>
  <c r="I204" i="9" s="1"/>
  <c r="I202" i="9" s="1"/>
  <c r="I201" i="9" s="1"/>
  <c r="G205" i="9"/>
  <c r="F205" i="9"/>
  <c r="F204" i="9" s="1"/>
  <c r="F202" i="9" s="1"/>
  <c r="F201" i="9" s="1"/>
  <c r="O204" i="9"/>
  <c r="O202" i="9" s="1"/>
  <c r="O201" i="9" s="1"/>
  <c r="G204" i="9"/>
  <c r="G202" i="9" s="1"/>
  <c r="G201" i="9" s="1"/>
  <c r="P202" i="9"/>
  <c r="P201" i="9" s="1"/>
  <c r="N201" i="9"/>
  <c r="P200" i="9"/>
  <c r="P199" i="9" s="1"/>
  <c r="P197" i="9" s="1"/>
  <c r="P196" i="9" s="1"/>
  <c r="P195" i="9" s="1"/>
  <c r="M200" i="9"/>
  <c r="H200" i="9"/>
  <c r="O199" i="9"/>
  <c r="N199" i="9"/>
  <c r="N197" i="9" s="1"/>
  <c r="N196" i="9" s="1"/>
  <c r="N195" i="9" s="1"/>
  <c r="M199" i="9"/>
  <c r="M197" i="9" s="1"/>
  <c r="M196" i="9" s="1"/>
  <c r="M195" i="9" s="1"/>
  <c r="L199" i="9"/>
  <c r="K199" i="9"/>
  <c r="K197" i="9" s="1"/>
  <c r="K196" i="9" s="1"/>
  <c r="K195" i="9" s="1"/>
  <c r="I199" i="9"/>
  <c r="I197" i="9" s="1"/>
  <c r="I196" i="9" s="1"/>
  <c r="I195" i="9" s="1"/>
  <c r="G199" i="9"/>
  <c r="G197" i="9" s="1"/>
  <c r="G196" i="9" s="1"/>
  <c r="G195" i="9" s="1"/>
  <c r="F199" i="9"/>
  <c r="F197" i="9" s="1"/>
  <c r="F196" i="9" s="1"/>
  <c r="F195" i="9" s="1"/>
  <c r="O197" i="9"/>
  <c r="O196" i="9" s="1"/>
  <c r="O195" i="9" s="1"/>
  <c r="L197" i="9"/>
  <c r="L196" i="9" s="1"/>
  <c r="L195" i="9" s="1"/>
  <c r="P194" i="9"/>
  <c r="M194" i="9"/>
  <c r="H194" i="9"/>
  <c r="J194" i="9" s="1"/>
  <c r="P193" i="9"/>
  <c r="M193" i="9"/>
  <c r="H193" i="9"/>
  <c r="J193" i="9" s="1"/>
  <c r="P192" i="9"/>
  <c r="P190" i="9" s="1"/>
  <c r="P189" i="9" s="1"/>
  <c r="P188" i="9" s="1"/>
  <c r="P187" i="9" s="1"/>
  <c r="M192" i="9"/>
  <c r="H192" i="9"/>
  <c r="J192" i="9" s="1"/>
  <c r="P191" i="9"/>
  <c r="M191" i="9"/>
  <c r="I191" i="9"/>
  <c r="I190" i="9" s="1"/>
  <c r="H191" i="9"/>
  <c r="H190" i="9" s="1"/>
  <c r="H189" i="9" s="1"/>
  <c r="H188" i="9" s="1"/>
  <c r="H187" i="9" s="1"/>
  <c r="O190" i="9"/>
  <c r="N190" i="9"/>
  <c r="N189" i="9" s="1"/>
  <c r="N188" i="9" s="1"/>
  <c r="N187" i="9" s="1"/>
  <c r="L190" i="9"/>
  <c r="L189" i="9" s="1"/>
  <c r="L188" i="9" s="1"/>
  <c r="L187" i="9" s="1"/>
  <c r="K190" i="9"/>
  <c r="K189" i="9" s="1"/>
  <c r="K188" i="9" s="1"/>
  <c r="G190" i="9"/>
  <c r="G189" i="9" s="1"/>
  <c r="G188" i="9" s="1"/>
  <c r="G187" i="9" s="1"/>
  <c r="F190" i="9"/>
  <c r="F189" i="9" s="1"/>
  <c r="F188" i="9" s="1"/>
  <c r="F187" i="9" s="1"/>
  <c r="O189" i="9"/>
  <c r="O188" i="9" s="1"/>
  <c r="O187" i="9" s="1"/>
  <c r="K187" i="9"/>
  <c r="P186" i="9"/>
  <c r="P185" i="9" s="1"/>
  <c r="M186" i="9"/>
  <c r="G186" i="9"/>
  <c r="H186" i="9" s="1"/>
  <c r="H185" i="9" s="1"/>
  <c r="O185" i="9"/>
  <c r="N185" i="9"/>
  <c r="M185" i="9"/>
  <c r="L185" i="9"/>
  <c r="K185" i="9"/>
  <c r="I185" i="9"/>
  <c r="F185" i="9"/>
  <c r="P184" i="9"/>
  <c r="P183" i="9" s="1"/>
  <c r="M184" i="9"/>
  <c r="M183" i="9" s="1"/>
  <c r="H184" i="9"/>
  <c r="J184" i="9" s="1"/>
  <c r="J183" i="9" s="1"/>
  <c r="O183" i="9"/>
  <c r="N183" i="9"/>
  <c r="L183" i="9"/>
  <c r="K183" i="9"/>
  <c r="I183" i="9"/>
  <c r="J277" i="12" s="1"/>
  <c r="G183" i="9"/>
  <c r="F183" i="9"/>
  <c r="P182" i="9"/>
  <c r="P181" i="9" s="1"/>
  <c r="M182" i="9"/>
  <c r="H182" i="9"/>
  <c r="O181" i="9"/>
  <c r="N181" i="9"/>
  <c r="M181" i="9"/>
  <c r="L181" i="9"/>
  <c r="K181" i="9"/>
  <c r="I181" i="9"/>
  <c r="J275" i="12" s="1"/>
  <c r="G181" i="9"/>
  <c r="F181" i="9"/>
  <c r="P180" i="9"/>
  <c r="M180" i="9"/>
  <c r="I180" i="9"/>
  <c r="J125" i="12" s="1"/>
  <c r="G180" i="9"/>
  <c r="H180" i="9" s="1"/>
  <c r="J180" i="9" s="1"/>
  <c r="P179" i="9"/>
  <c r="M179" i="9"/>
  <c r="I179" i="9"/>
  <c r="J273" i="12" s="1"/>
  <c r="K273" i="12" s="1"/>
  <c r="H179" i="9"/>
  <c r="P178" i="9"/>
  <c r="M178" i="9"/>
  <c r="I178" i="9"/>
  <c r="J272" i="12" s="1"/>
  <c r="H178" i="9"/>
  <c r="O177" i="9"/>
  <c r="N177" i="9"/>
  <c r="L177" i="9"/>
  <c r="K177" i="9"/>
  <c r="F177" i="9"/>
  <c r="P176" i="9"/>
  <c r="M176" i="9"/>
  <c r="H176" i="9"/>
  <c r="J176" i="9" s="1"/>
  <c r="P175" i="9"/>
  <c r="M175" i="9"/>
  <c r="H175" i="9"/>
  <c r="J175" i="9" s="1"/>
  <c r="P174" i="9"/>
  <c r="P172" i="9" s="1"/>
  <c r="M174" i="9"/>
  <c r="H174" i="9"/>
  <c r="J174" i="9" s="1"/>
  <c r="P173" i="9"/>
  <c r="M173" i="9"/>
  <c r="I173" i="9"/>
  <c r="J267" i="12" s="1"/>
  <c r="H173" i="9"/>
  <c r="O172" i="9"/>
  <c r="N172" i="9"/>
  <c r="L172" i="9"/>
  <c r="K172" i="9"/>
  <c r="G172" i="9"/>
  <c r="F172" i="9"/>
  <c r="P171" i="9"/>
  <c r="M171" i="9"/>
  <c r="M170" i="9" s="1"/>
  <c r="J171" i="9"/>
  <c r="J170" i="9" s="1"/>
  <c r="G171" i="9"/>
  <c r="H171" i="9" s="1"/>
  <c r="H170" i="9" s="1"/>
  <c r="P170" i="9"/>
  <c r="O170" i="9"/>
  <c r="N170" i="9"/>
  <c r="L170" i="9"/>
  <c r="K170" i="9"/>
  <c r="I170" i="9"/>
  <c r="G170" i="9"/>
  <c r="F170" i="9"/>
  <c r="P169" i="9"/>
  <c r="M169" i="9"/>
  <c r="M167" i="9" s="1"/>
  <c r="H169" i="9"/>
  <c r="P168" i="9"/>
  <c r="P167" i="9" s="1"/>
  <c r="M168" i="9"/>
  <c r="H168" i="9"/>
  <c r="J168" i="9" s="1"/>
  <c r="O167" i="9"/>
  <c r="N167" i="9"/>
  <c r="L167" i="9"/>
  <c r="K167" i="9"/>
  <c r="I167" i="9"/>
  <c r="G167" i="9"/>
  <c r="F167" i="9"/>
  <c r="P166" i="9"/>
  <c r="P165" i="9" s="1"/>
  <c r="M166" i="9"/>
  <c r="M165" i="9" s="1"/>
  <c r="H166" i="9"/>
  <c r="O165" i="9"/>
  <c r="N165" i="9"/>
  <c r="L165" i="9"/>
  <c r="K165" i="9"/>
  <c r="I165" i="9"/>
  <c r="G165" i="9"/>
  <c r="F165" i="9"/>
  <c r="P164" i="9"/>
  <c r="P163" i="9" s="1"/>
  <c r="M164" i="9"/>
  <c r="H164" i="9"/>
  <c r="J164" i="9" s="1"/>
  <c r="J163" i="9" s="1"/>
  <c r="O163" i="9"/>
  <c r="N163" i="9"/>
  <c r="M163" i="9"/>
  <c r="L163" i="9"/>
  <c r="K163" i="9"/>
  <c r="I163" i="9"/>
  <c r="H163" i="9"/>
  <c r="G163" i="9"/>
  <c r="F163" i="9"/>
  <c r="P161" i="9"/>
  <c r="P160" i="9" s="1"/>
  <c r="P159" i="9" s="1"/>
  <c r="M161" i="9"/>
  <c r="M160" i="9" s="1"/>
  <c r="M159" i="9" s="1"/>
  <c r="H161" i="9"/>
  <c r="H160" i="9" s="1"/>
  <c r="O160" i="9"/>
  <c r="O159" i="9" s="1"/>
  <c r="N160" i="9"/>
  <c r="N159" i="9" s="1"/>
  <c r="L160" i="9"/>
  <c r="L159" i="9" s="1"/>
  <c r="K160" i="9"/>
  <c r="K159" i="9" s="1"/>
  <c r="I160" i="9"/>
  <c r="I159" i="9" s="1"/>
  <c r="G160" i="9"/>
  <c r="G159" i="9" s="1"/>
  <c r="F160" i="9"/>
  <c r="F159" i="9" s="1"/>
  <c r="H159" i="9"/>
  <c r="P156" i="9"/>
  <c r="P155" i="9" s="1"/>
  <c r="M156" i="9"/>
  <c r="H156" i="9"/>
  <c r="O155" i="9"/>
  <c r="N155" i="9"/>
  <c r="M155" i="9"/>
  <c r="L155" i="9"/>
  <c r="K155" i="9"/>
  <c r="I155" i="9"/>
  <c r="G155" i="9"/>
  <c r="F155" i="9"/>
  <c r="P154" i="9"/>
  <c r="P152" i="9" s="1"/>
  <c r="M154" i="9"/>
  <c r="I154" i="9"/>
  <c r="G154" i="9"/>
  <c r="H154" i="9" s="1"/>
  <c r="P153" i="9"/>
  <c r="M153" i="9"/>
  <c r="M152" i="9" s="1"/>
  <c r="H153" i="9"/>
  <c r="J153" i="9" s="1"/>
  <c r="O152" i="9"/>
  <c r="N152" i="9"/>
  <c r="L152" i="9"/>
  <c r="K152" i="9"/>
  <c r="K150" i="9" s="1"/>
  <c r="H152" i="9"/>
  <c r="F152" i="9"/>
  <c r="P151" i="9"/>
  <c r="M151" i="9"/>
  <c r="M150" i="9" s="1"/>
  <c r="H151" i="9"/>
  <c r="H150" i="9" s="1"/>
  <c r="P150" i="9"/>
  <c r="O150" i="9"/>
  <c r="N150" i="9"/>
  <c r="L150" i="9"/>
  <c r="I150" i="9"/>
  <c r="G150" i="9"/>
  <c r="F150" i="9"/>
  <c r="P149" i="9"/>
  <c r="M149" i="9"/>
  <c r="J149" i="9"/>
  <c r="H149" i="9"/>
  <c r="P148" i="9"/>
  <c r="P146" i="9" s="1"/>
  <c r="M148" i="9"/>
  <c r="H148" i="9"/>
  <c r="J148" i="9" s="1"/>
  <c r="P147" i="9"/>
  <c r="M147" i="9"/>
  <c r="H147" i="9"/>
  <c r="O146" i="9"/>
  <c r="N146" i="9"/>
  <c r="L146" i="9"/>
  <c r="K146" i="9"/>
  <c r="I146" i="9"/>
  <c r="G146" i="9"/>
  <c r="F146" i="9"/>
  <c r="N143" i="9"/>
  <c r="K143" i="9"/>
  <c r="P142" i="9"/>
  <c r="M142" i="9"/>
  <c r="M141" i="9" s="1"/>
  <c r="I142" i="9"/>
  <c r="J235" i="12" s="1"/>
  <c r="H142" i="9"/>
  <c r="H141" i="9" s="1"/>
  <c r="P141" i="9"/>
  <c r="O141" i="9"/>
  <c r="N141" i="9"/>
  <c r="L141" i="9"/>
  <c r="K141" i="9"/>
  <c r="G141" i="9"/>
  <c r="F141" i="9"/>
  <c r="P139" i="9"/>
  <c r="M139" i="9"/>
  <c r="G139" i="9"/>
  <c r="F139" i="9"/>
  <c r="F137" i="9" s="1"/>
  <c r="P138" i="9"/>
  <c r="P137" i="9" s="1"/>
  <c r="M138" i="9"/>
  <c r="I138" i="9"/>
  <c r="I137" i="9" s="1"/>
  <c r="G138" i="9"/>
  <c r="H138" i="9" s="1"/>
  <c r="O137" i="9"/>
  <c r="N137" i="9"/>
  <c r="L137" i="9"/>
  <c r="K137" i="9"/>
  <c r="P136" i="9"/>
  <c r="P135" i="9" s="1"/>
  <c r="M136" i="9"/>
  <c r="M135" i="9" s="1"/>
  <c r="H136" i="9"/>
  <c r="J136" i="9" s="1"/>
  <c r="J135" i="9" s="1"/>
  <c r="O135" i="9"/>
  <c r="N135" i="9"/>
  <c r="L135" i="9"/>
  <c r="K135" i="9"/>
  <c r="I135" i="9"/>
  <c r="G135" i="9"/>
  <c r="F135" i="9"/>
  <c r="P130" i="9"/>
  <c r="P129" i="9" s="1"/>
  <c r="M130" i="9"/>
  <c r="M129" i="9" s="1"/>
  <c r="H130" i="9"/>
  <c r="O129" i="9"/>
  <c r="N129" i="9"/>
  <c r="L129" i="9"/>
  <c r="K129" i="9"/>
  <c r="I129" i="9"/>
  <c r="G129" i="9"/>
  <c r="F129" i="9"/>
  <c r="P128" i="9"/>
  <c r="M128" i="9"/>
  <c r="H128" i="9"/>
  <c r="J128" i="9" s="1"/>
  <c r="P127" i="9"/>
  <c r="M127" i="9"/>
  <c r="M126" i="9" s="1"/>
  <c r="M125" i="9" s="1"/>
  <c r="M124" i="9" s="1"/>
  <c r="H127" i="9"/>
  <c r="J127" i="9" s="1"/>
  <c r="P126" i="9"/>
  <c r="O126" i="9"/>
  <c r="O125" i="9" s="1"/>
  <c r="O124" i="9" s="1"/>
  <c r="N126" i="9"/>
  <c r="N125" i="9" s="1"/>
  <c r="N124" i="9" s="1"/>
  <c r="L126" i="9"/>
  <c r="L125" i="9" s="1"/>
  <c r="L124" i="9" s="1"/>
  <c r="K126" i="9"/>
  <c r="K125" i="9" s="1"/>
  <c r="K124" i="9" s="1"/>
  <c r="J126" i="9"/>
  <c r="I126" i="9"/>
  <c r="H126" i="9"/>
  <c r="G126" i="9"/>
  <c r="F126" i="9"/>
  <c r="F125" i="9" s="1"/>
  <c r="F124" i="9" s="1"/>
  <c r="F119" i="9" s="1"/>
  <c r="P123" i="9"/>
  <c r="P122" i="9" s="1"/>
  <c r="P121" i="9" s="1"/>
  <c r="P120" i="9" s="1"/>
  <c r="M123" i="9"/>
  <c r="H123" i="9"/>
  <c r="O122" i="9"/>
  <c r="O121" i="9" s="1"/>
  <c r="O120" i="9" s="1"/>
  <c r="N122" i="9"/>
  <c r="N121" i="9" s="1"/>
  <c r="N120" i="9" s="1"/>
  <c r="M122" i="9"/>
  <c r="M121" i="9" s="1"/>
  <c r="M120" i="9" s="1"/>
  <c r="L122" i="9"/>
  <c r="L121" i="9" s="1"/>
  <c r="L120" i="9" s="1"/>
  <c r="K122" i="9"/>
  <c r="K121" i="9" s="1"/>
  <c r="I122" i="9"/>
  <c r="I121" i="9" s="1"/>
  <c r="I120" i="9" s="1"/>
  <c r="G122" i="9"/>
  <c r="G121" i="9" s="1"/>
  <c r="F122" i="9"/>
  <c r="F121" i="9" s="1"/>
  <c r="F120" i="9" s="1"/>
  <c r="K120" i="9"/>
  <c r="G120" i="9"/>
  <c r="P118" i="9"/>
  <c r="M118" i="9"/>
  <c r="H118" i="9"/>
  <c r="J118" i="9" s="1"/>
  <c r="P117" i="9"/>
  <c r="M117" i="9"/>
  <c r="I116" i="9"/>
  <c r="I115" i="9" s="1"/>
  <c r="I114" i="9" s="1"/>
  <c r="H117" i="9"/>
  <c r="H116" i="9" s="1"/>
  <c r="H115" i="9" s="1"/>
  <c r="H114" i="9" s="1"/>
  <c r="P116" i="9"/>
  <c r="P115" i="9" s="1"/>
  <c r="P114" i="9" s="1"/>
  <c r="O116" i="9"/>
  <c r="N116" i="9"/>
  <c r="N115" i="9" s="1"/>
  <c r="N114" i="9" s="1"/>
  <c r="L116" i="9"/>
  <c r="L115" i="9" s="1"/>
  <c r="L114" i="9" s="1"/>
  <c r="K116" i="9"/>
  <c r="K115" i="9" s="1"/>
  <c r="K114" i="9" s="1"/>
  <c r="G116" i="9"/>
  <c r="F116" i="9"/>
  <c r="F115" i="9" s="1"/>
  <c r="F114" i="9" s="1"/>
  <c r="O115" i="9"/>
  <c r="O114" i="9" s="1"/>
  <c r="G115" i="9"/>
  <c r="G114" i="9" s="1"/>
  <c r="P113" i="9"/>
  <c r="P112" i="9" s="1"/>
  <c r="P111" i="9" s="1"/>
  <c r="P110" i="9" s="1"/>
  <c r="M113" i="9"/>
  <c r="M112" i="9" s="1"/>
  <c r="M111" i="9" s="1"/>
  <c r="M110" i="9" s="1"/>
  <c r="H113" i="9"/>
  <c r="O112" i="9"/>
  <c r="O111" i="9" s="1"/>
  <c r="O110" i="9" s="1"/>
  <c r="O109" i="9" s="1"/>
  <c r="N112" i="9"/>
  <c r="N111" i="9" s="1"/>
  <c r="N110" i="9" s="1"/>
  <c r="L112" i="9"/>
  <c r="L111" i="9" s="1"/>
  <c r="L110" i="9" s="1"/>
  <c r="K112" i="9"/>
  <c r="H112" i="9"/>
  <c r="H111" i="9" s="1"/>
  <c r="H110" i="9" s="1"/>
  <c r="H109" i="9" s="1"/>
  <c r="G112" i="9"/>
  <c r="G111" i="9" s="1"/>
  <c r="G110" i="9" s="1"/>
  <c r="G109" i="9" s="1"/>
  <c r="F112" i="9"/>
  <c r="F111" i="9" s="1"/>
  <c r="F110" i="9" s="1"/>
  <c r="K111" i="9"/>
  <c r="K110" i="9" s="1"/>
  <c r="K109" i="9" s="1"/>
  <c r="P108" i="9"/>
  <c r="P107" i="9" s="1"/>
  <c r="P106" i="9" s="1"/>
  <c r="P105" i="9" s="1"/>
  <c r="P104" i="9" s="1"/>
  <c r="M108" i="9"/>
  <c r="M107" i="9" s="1"/>
  <c r="H108" i="9"/>
  <c r="O107" i="9"/>
  <c r="O106" i="9" s="1"/>
  <c r="O105" i="9" s="1"/>
  <c r="O104" i="9" s="1"/>
  <c r="N107" i="9"/>
  <c r="N106" i="9" s="1"/>
  <c r="N105" i="9" s="1"/>
  <c r="N104" i="9" s="1"/>
  <c r="L107" i="9"/>
  <c r="L106" i="9" s="1"/>
  <c r="L105" i="9" s="1"/>
  <c r="L104" i="9" s="1"/>
  <c r="K107" i="9"/>
  <c r="K106" i="9" s="1"/>
  <c r="K105" i="9" s="1"/>
  <c r="K104" i="9" s="1"/>
  <c r="I107" i="9"/>
  <c r="I106" i="9" s="1"/>
  <c r="G107" i="9"/>
  <c r="F107" i="9"/>
  <c r="F106" i="9" s="1"/>
  <c r="F105" i="9" s="1"/>
  <c r="F104" i="9" s="1"/>
  <c r="M106" i="9"/>
  <c r="M105" i="9" s="1"/>
  <c r="M104" i="9" s="1"/>
  <c r="G106" i="9"/>
  <c r="G105" i="9" s="1"/>
  <c r="G104" i="9" s="1"/>
  <c r="I105" i="9"/>
  <c r="I104" i="9" s="1"/>
  <c r="P103" i="9"/>
  <c r="P102" i="9" s="1"/>
  <c r="P101" i="9" s="1"/>
  <c r="P100" i="9" s="1"/>
  <c r="P99" i="9" s="1"/>
  <c r="M103" i="9"/>
  <c r="M102" i="9" s="1"/>
  <c r="J103" i="9"/>
  <c r="J102" i="9" s="1"/>
  <c r="J101" i="9" s="1"/>
  <c r="J100" i="9" s="1"/>
  <c r="J99" i="9" s="1"/>
  <c r="H103" i="9"/>
  <c r="O102" i="9"/>
  <c r="N102" i="9"/>
  <c r="N101" i="9" s="1"/>
  <c r="N100" i="9" s="1"/>
  <c r="N99" i="9" s="1"/>
  <c r="L102" i="9"/>
  <c r="L101" i="9" s="1"/>
  <c r="L100" i="9" s="1"/>
  <c r="L99" i="9" s="1"/>
  <c r="K102" i="9"/>
  <c r="K101" i="9" s="1"/>
  <c r="K100" i="9" s="1"/>
  <c r="K99" i="9" s="1"/>
  <c r="I102" i="9"/>
  <c r="H102" i="9"/>
  <c r="H101" i="9" s="1"/>
  <c r="H100" i="9" s="1"/>
  <c r="G102" i="9"/>
  <c r="G101" i="9" s="1"/>
  <c r="G100" i="9" s="1"/>
  <c r="G99" i="9" s="1"/>
  <c r="F102" i="9"/>
  <c r="O101" i="9"/>
  <c r="O100" i="9" s="1"/>
  <c r="O99" i="9" s="1"/>
  <c r="M101" i="9"/>
  <c r="I101" i="9"/>
  <c r="I100" i="9" s="1"/>
  <c r="I99" i="9" s="1"/>
  <c r="F101" i="9"/>
  <c r="M100" i="9"/>
  <c r="M99" i="9" s="1"/>
  <c r="F100" i="9"/>
  <c r="F99" i="9" s="1"/>
  <c r="H99" i="9"/>
  <c r="P96" i="9"/>
  <c r="M96" i="9"/>
  <c r="I96" i="9"/>
  <c r="H96" i="9"/>
  <c r="P95" i="9"/>
  <c r="P94" i="9" s="1"/>
  <c r="M95" i="9"/>
  <c r="H95" i="9"/>
  <c r="J95" i="9" s="1"/>
  <c r="O94" i="9"/>
  <c r="N94" i="9"/>
  <c r="L94" i="9"/>
  <c r="K94" i="9"/>
  <c r="G94" i="9"/>
  <c r="F94" i="9"/>
  <c r="P93" i="9"/>
  <c r="P91" i="9" s="1"/>
  <c r="M93" i="9"/>
  <c r="H93" i="9"/>
  <c r="J93" i="9" s="1"/>
  <c r="P92" i="9"/>
  <c r="M92" i="9"/>
  <c r="I92" i="9"/>
  <c r="J84" i="12" s="1"/>
  <c r="H92" i="9"/>
  <c r="H91" i="9" s="1"/>
  <c r="O91" i="9"/>
  <c r="M91" i="9"/>
  <c r="L91" i="9"/>
  <c r="G91" i="9"/>
  <c r="F91" i="9"/>
  <c r="P90" i="9"/>
  <c r="P89" i="9" s="1"/>
  <c r="M90" i="9"/>
  <c r="M89" i="9" s="1"/>
  <c r="H90" i="9"/>
  <c r="O89" i="9"/>
  <c r="N89" i="9"/>
  <c r="L89" i="9"/>
  <c r="K89" i="9"/>
  <c r="I89" i="9"/>
  <c r="G89" i="9"/>
  <c r="F89" i="9"/>
  <c r="K88" i="9"/>
  <c r="K87" i="9" s="1"/>
  <c r="K86" i="9" s="1"/>
  <c r="P84" i="9"/>
  <c r="P83" i="9" s="1"/>
  <c r="P82" i="9" s="1"/>
  <c r="P81" i="9" s="1"/>
  <c r="P80" i="9" s="1"/>
  <c r="M84" i="9"/>
  <c r="M83" i="9" s="1"/>
  <c r="M82" i="9" s="1"/>
  <c r="M81" i="9" s="1"/>
  <c r="M80" i="9" s="1"/>
  <c r="H84" i="9"/>
  <c r="J84" i="9" s="1"/>
  <c r="J83" i="9" s="1"/>
  <c r="J82" i="9" s="1"/>
  <c r="J81" i="9" s="1"/>
  <c r="J80" i="9" s="1"/>
  <c r="O83" i="9"/>
  <c r="O82" i="9" s="1"/>
  <c r="O81" i="9" s="1"/>
  <c r="N83" i="9"/>
  <c r="N82" i="9" s="1"/>
  <c r="N81" i="9" s="1"/>
  <c r="N80" i="9" s="1"/>
  <c r="L83" i="9"/>
  <c r="L82" i="9" s="1"/>
  <c r="L81" i="9" s="1"/>
  <c r="L80" i="9" s="1"/>
  <c r="K83" i="9"/>
  <c r="I83" i="9"/>
  <c r="I82" i="9" s="1"/>
  <c r="I81" i="9" s="1"/>
  <c r="I80" i="9" s="1"/>
  <c r="G83" i="9"/>
  <c r="G82" i="9" s="1"/>
  <c r="G81" i="9" s="1"/>
  <c r="G80" i="9" s="1"/>
  <c r="F83" i="9"/>
  <c r="F82" i="9" s="1"/>
  <c r="F81" i="9" s="1"/>
  <c r="F80" i="9" s="1"/>
  <c r="K82" i="9"/>
  <c r="K81" i="9" s="1"/>
  <c r="K80" i="9" s="1"/>
  <c r="O80" i="9"/>
  <c r="P78" i="9"/>
  <c r="M78" i="9"/>
  <c r="M77" i="9" s="1"/>
  <c r="M76" i="9" s="1"/>
  <c r="H78" i="9"/>
  <c r="O77" i="9"/>
  <c r="O76" i="9" s="1"/>
  <c r="N77" i="9"/>
  <c r="N76" i="9" s="1"/>
  <c r="L77" i="9"/>
  <c r="L76" i="9" s="1"/>
  <c r="K77" i="9"/>
  <c r="K76" i="9" s="1"/>
  <c r="I77" i="9"/>
  <c r="I76" i="9" s="1"/>
  <c r="G77" i="9"/>
  <c r="G76" i="9" s="1"/>
  <c r="F77" i="9"/>
  <c r="F76" i="9" s="1"/>
  <c r="P75" i="9"/>
  <c r="M75" i="9"/>
  <c r="H75" i="9"/>
  <c r="J75" i="9" s="1"/>
  <c r="P74" i="9"/>
  <c r="M74" i="9"/>
  <c r="M72" i="9" s="1"/>
  <c r="H74" i="9"/>
  <c r="J74" i="9" s="1"/>
  <c r="P73" i="9"/>
  <c r="M73" i="9"/>
  <c r="H73" i="9"/>
  <c r="H72" i="9" s="1"/>
  <c r="O72" i="9"/>
  <c r="O69" i="9" s="1"/>
  <c r="N72" i="9"/>
  <c r="L72" i="9"/>
  <c r="K72" i="9"/>
  <c r="I72" i="9"/>
  <c r="G72" i="9"/>
  <c r="F72" i="9"/>
  <c r="P71" i="9"/>
  <c r="M71" i="9"/>
  <c r="M70" i="9" s="1"/>
  <c r="I71" i="9"/>
  <c r="H71" i="9"/>
  <c r="P70" i="9"/>
  <c r="O70" i="9"/>
  <c r="N70" i="9"/>
  <c r="N69" i="9" s="1"/>
  <c r="N68" i="9" s="1"/>
  <c r="L70" i="9"/>
  <c r="L69" i="9" s="1"/>
  <c r="K70" i="9"/>
  <c r="K69" i="9" s="1"/>
  <c r="G70" i="9"/>
  <c r="F70" i="9"/>
  <c r="F69" i="9" s="1"/>
  <c r="P67" i="9"/>
  <c r="P66" i="9" s="1"/>
  <c r="M67" i="9"/>
  <c r="M66" i="9" s="1"/>
  <c r="H67" i="9"/>
  <c r="J67" i="9" s="1"/>
  <c r="J66" i="9" s="1"/>
  <c r="O66" i="9"/>
  <c r="N66" i="9"/>
  <c r="L66" i="9"/>
  <c r="K66" i="9"/>
  <c r="I66" i="9"/>
  <c r="G66" i="9"/>
  <c r="F66" i="9"/>
  <c r="P65" i="9"/>
  <c r="M65" i="9"/>
  <c r="M64" i="9" s="1"/>
  <c r="J65" i="9"/>
  <c r="J64" i="9" s="1"/>
  <c r="H65" i="9"/>
  <c r="P64" i="9"/>
  <c r="O64" i="9"/>
  <c r="N64" i="9"/>
  <c r="L64" i="9"/>
  <c r="K64" i="9"/>
  <c r="I64" i="9"/>
  <c r="H64" i="9"/>
  <c r="G64" i="9"/>
  <c r="F64" i="9"/>
  <c r="P63" i="9"/>
  <c r="M63" i="9"/>
  <c r="H63" i="9"/>
  <c r="J63" i="9" s="1"/>
  <c r="P62" i="9"/>
  <c r="M62" i="9"/>
  <c r="H62" i="9"/>
  <c r="O61" i="9"/>
  <c r="N61" i="9"/>
  <c r="M61" i="9"/>
  <c r="L61" i="9"/>
  <c r="K61" i="9"/>
  <c r="I61" i="9"/>
  <c r="G61" i="9"/>
  <c r="F61" i="9"/>
  <c r="P60" i="9"/>
  <c r="P59" i="9" s="1"/>
  <c r="M60" i="9"/>
  <c r="M59" i="9" s="1"/>
  <c r="H60" i="9"/>
  <c r="J60" i="9" s="1"/>
  <c r="J59" i="9" s="1"/>
  <c r="O59" i="9"/>
  <c r="N59" i="9"/>
  <c r="L59" i="9"/>
  <c r="K59" i="9"/>
  <c r="I59" i="9"/>
  <c r="G59" i="9"/>
  <c r="F59" i="9"/>
  <c r="P58" i="9"/>
  <c r="P57" i="9" s="1"/>
  <c r="M58" i="9"/>
  <c r="M57" i="9" s="1"/>
  <c r="H58" i="9"/>
  <c r="J58" i="9" s="1"/>
  <c r="J57" i="9" s="1"/>
  <c r="O57" i="9"/>
  <c r="N57" i="9"/>
  <c r="L57" i="9"/>
  <c r="K57" i="9"/>
  <c r="I57" i="9"/>
  <c r="G57" i="9"/>
  <c r="F57" i="9"/>
  <c r="P56" i="9"/>
  <c r="P55" i="9" s="1"/>
  <c r="M56" i="9"/>
  <c r="M55" i="9" s="1"/>
  <c r="H56" i="9"/>
  <c r="H55" i="9" s="1"/>
  <c r="O55" i="9"/>
  <c r="N55" i="9"/>
  <c r="L55" i="9"/>
  <c r="K55" i="9"/>
  <c r="I55" i="9"/>
  <c r="G55" i="9"/>
  <c r="F55" i="9"/>
  <c r="P54" i="9"/>
  <c r="M54" i="9"/>
  <c r="M53" i="9" s="1"/>
  <c r="H54" i="9"/>
  <c r="P53" i="9"/>
  <c r="O53" i="9"/>
  <c r="N53" i="9"/>
  <c r="L53" i="9"/>
  <c r="L52" i="9" s="1"/>
  <c r="L51" i="9" s="1"/>
  <c r="K53" i="9"/>
  <c r="I53" i="9"/>
  <c r="G53" i="9"/>
  <c r="F53" i="9"/>
  <c r="P49" i="9"/>
  <c r="P48" i="9" s="1"/>
  <c r="M49" i="9"/>
  <c r="H49" i="9"/>
  <c r="O48" i="9"/>
  <c r="N48" i="9"/>
  <c r="M48" i="9"/>
  <c r="L48" i="9"/>
  <c r="K48" i="9"/>
  <c r="I48" i="9"/>
  <c r="G48" i="9"/>
  <c r="F48" i="9"/>
  <c r="P47" i="9"/>
  <c r="P46" i="9" s="1"/>
  <c r="P45" i="9" s="1"/>
  <c r="P44" i="9" s="1"/>
  <c r="P43" i="9" s="1"/>
  <c r="M47" i="9"/>
  <c r="H47" i="9"/>
  <c r="O46" i="9"/>
  <c r="N46" i="9"/>
  <c r="M46" i="9"/>
  <c r="L46" i="9"/>
  <c r="L45" i="9" s="1"/>
  <c r="L44" i="9" s="1"/>
  <c r="L43" i="9" s="1"/>
  <c r="K46" i="9"/>
  <c r="I46" i="9"/>
  <c r="I45" i="9" s="1"/>
  <c r="I44" i="9" s="1"/>
  <c r="I43" i="9" s="1"/>
  <c r="G46" i="9"/>
  <c r="F46" i="9"/>
  <c r="N45" i="9"/>
  <c r="N44" i="9" s="1"/>
  <c r="N43" i="9" s="1"/>
  <c r="F45" i="9"/>
  <c r="F44" i="9" s="1"/>
  <c r="F43" i="9" s="1"/>
  <c r="P42" i="9"/>
  <c r="M42" i="9"/>
  <c r="H42" i="9"/>
  <c r="J42" i="9" s="1"/>
  <c r="P41" i="9"/>
  <c r="M41" i="9"/>
  <c r="H41" i="9"/>
  <c r="J41" i="9" s="1"/>
  <c r="P40" i="9"/>
  <c r="P39" i="9" s="1"/>
  <c r="P38" i="9" s="1"/>
  <c r="P37" i="9" s="1"/>
  <c r="P36" i="9" s="1"/>
  <c r="M40" i="9"/>
  <c r="H40" i="9"/>
  <c r="O39" i="9"/>
  <c r="O38" i="9" s="1"/>
  <c r="N39" i="9"/>
  <c r="N38" i="9" s="1"/>
  <c r="N37" i="9" s="1"/>
  <c r="N36" i="9" s="1"/>
  <c r="L39" i="9"/>
  <c r="L38" i="9" s="1"/>
  <c r="L37" i="9" s="1"/>
  <c r="L36" i="9" s="1"/>
  <c r="K39" i="9"/>
  <c r="K38" i="9" s="1"/>
  <c r="I39" i="9"/>
  <c r="I38" i="9" s="1"/>
  <c r="I37" i="9" s="1"/>
  <c r="I36" i="9" s="1"/>
  <c r="G39" i="9"/>
  <c r="G38" i="9" s="1"/>
  <c r="G37" i="9" s="1"/>
  <c r="G36" i="9" s="1"/>
  <c r="F39" i="9"/>
  <c r="F38" i="9" s="1"/>
  <c r="F37" i="9" s="1"/>
  <c r="F36" i="9" s="1"/>
  <c r="O37" i="9"/>
  <c r="O36" i="9" s="1"/>
  <c r="K37" i="9"/>
  <c r="K36" i="9" s="1"/>
  <c r="P35" i="9"/>
  <c r="M35" i="9"/>
  <c r="M31" i="9" s="1"/>
  <c r="M30" i="9" s="1"/>
  <c r="M29" i="9" s="1"/>
  <c r="H35" i="9"/>
  <c r="J35" i="9" s="1"/>
  <c r="P33" i="9"/>
  <c r="M33" i="9"/>
  <c r="I33" i="9"/>
  <c r="H33" i="9"/>
  <c r="P32" i="9"/>
  <c r="P31" i="9" s="1"/>
  <c r="P30" i="9" s="1"/>
  <c r="P29" i="9" s="1"/>
  <c r="M32" i="9"/>
  <c r="I32" i="9"/>
  <c r="H32" i="9"/>
  <c r="J32" i="9" s="1"/>
  <c r="O31" i="9"/>
  <c r="O30" i="9" s="1"/>
  <c r="O29" i="9" s="1"/>
  <c r="N31" i="9"/>
  <c r="N30" i="9" s="1"/>
  <c r="N29" i="9" s="1"/>
  <c r="L31" i="9"/>
  <c r="K31" i="9"/>
  <c r="K30" i="9" s="1"/>
  <c r="K29" i="9" s="1"/>
  <c r="G31" i="9"/>
  <c r="G30" i="9" s="1"/>
  <c r="G29" i="9" s="1"/>
  <c r="F31" i="9"/>
  <c r="L30" i="9"/>
  <c r="L29" i="9" s="1"/>
  <c r="F30" i="9"/>
  <c r="F29" i="9" s="1"/>
  <c r="P28" i="9"/>
  <c r="M28" i="9"/>
  <c r="H28" i="9"/>
  <c r="J28" i="9" s="1"/>
  <c r="P27" i="9"/>
  <c r="M27" i="9"/>
  <c r="M26" i="9" s="1"/>
  <c r="M25" i="9" s="1"/>
  <c r="M24" i="9" s="1"/>
  <c r="J27" i="9"/>
  <c r="H27" i="9"/>
  <c r="P26" i="9"/>
  <c r="P25" i="9" s="1"/>
  <c r="P24" i="9" s="1"/>
  <c r="O26" i="9"/>
  <c r="N26" i="9"/>
  <c r="N25" i="9" s="1"/>
  <c r="N24" i="9" s="1"/>
  <c r="L26" i="9"/>
  <c r="L25" i="9" s="1"/>
  <c r="L24" i="9" s="1"/>
  <c r="L23" i="9" s="1"/>
  <c r="K26" i="9"/>
  <c r="I26" i="9"/>
  <c r="I25" i="9" s="1"/>
  <c r="I24" i="9" s="1"/>
  <c r="H26" i="9"/>
  <c r="H25" i="9" s="1"/>
  <c r="H24" i="9" s="1"/>
  <c r="G26" i="9"/>
  <c r="F26" i="9"/>
  <c r="F25" i="9" s="1"/>
  <c r="F24" i="9" s="1"/>
  <c r="O25" i="9"/>
  <c r="O24" i="9" s="1"/>
  <c r="K25" i="9"/>
  <c r="K24" i="9" s="1"/>
  <c r="K23" i="9" s="1"/>
  <c r="G25" i="9"/>
  <c r="G24" i="9" s="1"/>
  <c r="P22" i="9"/>
  <c r="M22" i="9"/>
  <c r="J22" i="9"/>
  <c r="H22" i="9"/>
  <c r="P21" i="9"/>
  <c r="P20" i="9" s="1"/>
  <c r="M21" i="9"/>
  <c r="M20" i="9" s="1"/>
  <c r="J21" i="9"/>
  <c r="J20" i="9" s="1"/>
  <c r="H21" i="9"/>
  <c r="O20" i="9"/>
  <c r="N20" i="9"/>
  <c r="L20" i="9"/>
  <c r="K20" i="9"/>
  <c r="I20" i="9"/>
  <c r="H20" i="9"/>
  <c r="G20" i="9"/>
  <c r="F20" i="9"/>
  <c r="P19" i="9"/>
  <c r="M19" i="9"/>
  <c r="H19" i="9"/>
  <c r="J19" i="9" s="1"/>
  <c r="P18" i="9"/>
  <c r="M18" i="9"/>
  <c r="H18" i="9"/>
  <c r="J18" i="9" s="1"/>
  <c r="P17" i="9"/>
  <c r="O17" i="9"/>
  <c r="N17" i="9"/>
  <c r="L17" i="9"/>
  <c r="K17" i="9"/>
  <c r="K16" i="9" s="1"/>
  <c r="K15" i="9" s="1"/>
  <c r="K14" i="9" s="1"/>
  <c r="I17" i="9"/>
  <c r="G17" i="9"/>
  <c r="F17" i="9"/>
  <c r="F16" i="9" s="1"/>
  <c r="F15" i="9" s="1"/>
  <c r="F14" i="9" s="1"/>
  <c r="N16" i="9"/>
  <c r="N15" i="9" s="1"/>
  <c r="N14" i="9" s="1"/>
  <c r="P13" i="9"/>
  <c r="P11" i="9" s="1"/>
  <c r="P10" i="9" s="1"/>
  <c r="P9" i="9" s="1"/>
  <c r="P8" i="9" s="1"/>
  <c r="M13" i="9"/>
  <c r="H13" i="9"/>
  <c r="J13" i="9" s="1"/>
  <c r="P12" i="9"/>
  <c r="M12" i="9"/>
  <c r="I12" i="9"/>
  <c r="H12" i="9"/>
  <c r="H11" i="9" s="1"/>
  <c r="H10" i="9" s="1"/>
  <c r="H9" i="9" s="1"/>
  <c r="H8" i="9" s="1"/>
  <c r="O11" i="9"/>
  <c r="O10" i="9" s="1"/>
  <c r="O9" i="9" s="1"/>
  <c r="O8" i="9" s="1"/>
  <c r="N11" i="9"/>
  <c r="N10" i="9" s="1"/>
  <c r="L11" i="9"/>
  <c r="L10" i="9" s="1"/>
  <c r="L9" i="9" s="1"/>
  <c r="L8" i="9" s="1"/>
  <c r="K11" i="9"/>
  <c r="K10" i="9" s="1"/>
  <c r="K9" i="9" s="1"/>
  <c r="K8" i="9" s="1"/>
  <c r="G11" i="9"/>
  <c r="G10" i="9" s="1"/>
  <c r="G9" i="9" s="1"/>
  <c r="G8" i="9" s="1"/>
  <c r="F11" i="9"/>
  <c r="F10" i="9" s="1"/>
  <c r="N9" i="9"/>
  <c r="N8" i="9" s="1"/>
  <c r="F9" i="9"/>
  <c r="F8" i="9" s="1"/>
  <c r="F39" i="8"/>
  <c r="F38" i="8" s="1"/>
  <c r="F60" i="8"/>
  <c r="F65" i="8"/>
  <c r="F64" i="8" s="1"/>
  <c r="F63" i="8"/>
  <c r="F61" i="8" s="1"/>
  <c r="D61" i="8"/>
  <c r="H61" i="8"/>
  <c r="I61" i="8"/>
  <c r="K61" i="8"/>
  <c r="L61" i="8"/>
  <c r="L55" i="8" s="1"/>
  <c r="C61" i="8"/>
  <c r="M62" i="8"/>
  <c r="M61" i="8" s="1"/>
  <c r="J62" i="8"/>
  <c r="J61" i="8" s="1"/>
  <c r="E62" i="8"/>
  <c r="G62" i="8" s="1"/>
  <c r="C50" i="8"/>
  <c r="H30" i="8"/>
  <c r="I30" i="8"/>
  <c r="K30" i="8"/>
  <c r="L30" i="8"/>
  <c r="M34" i="8"/>
  <c r="J34" i="8"/>
  <c r="E34" i="8"/>
  <c r="G34" i="8" s="1"/>
  <c r="M69" i="8"/>
  <c r="M68" i="8" s="1"/>
  <c r="L68" i="8"/>
  <c r="M67" i="8"/>
  <c r="M66" i="8" s="1"/>
  <c r="L66" i="8"/>
  <c r="M65" i="8"/>
  <c r="M64" i="8" s="1"/>
  <c r="L64" i="8"/>
  <c r="M63" i="8"/>
  <c r="M60" i="8"/>
  <c r="M59" i="8"/>
  <c r="M58" i="8"/>
  <c r="M57" i="8"/>
  <c r="M56" i="8"/>
  <c r="M52" i="8"/>
  <c r="M51" i="8"/>
  <c r="L50" i="8"/>
  <c r="M49" i="8"/>
  <c r="M48" i="8"/>
  <c r="M47" i="8" s="1"/>
  <c r="M46" i="8"/>
  <c r="M45" i="8" s="1"/>
  <c r="L45" i="8"/>
  <c r="M44" i="8"/>
  <c r="M43" i="8"/>
  <c r="L42" i="8"/>
  <c r="L40" i="8" s="1"/>
  <c r="M41" i="8"/>
  <c r="M39" i="8"/>
  <c r="M38" i="8" s="1"/>
  <c r="M37" i="8" s="1"/>
  <c r="L38" i="8"/>
  <c r="L37" i="8" s="1"/>
  <c r="M36" i="8"/>
  <c r="M35" i="8" s="1"/>
  <c r="L35" i="8"/>
  <c r="M33" i="8"/>
  <c r="M32" i="8"/>
  <c r="M31" i="8"/>
  <c r="M27" i="8"/>
  <c r="M26" i="8" s="1"/>
  <c r="L26" i="8"/>
  <c r="M25" i="8"/>
  <c r="M24" i="8"/>
  <c r="L23" i="8"/>
  <c r="M22" i="8"/>
  <c r="M21" i="8"/>
  <c r="L21" i="8"/>
  <c r="M19" i="8"/>
  <c r="M18" i="8"/>
  <c r="M17" i="8"/>
  <c r="M16" i="8"/>
  <c r="M15" i="8"/>
  <c r="M14" i="8"/>
  <c r="M13" i="8"/>
  <c r="M12" i="8"/>
  <c r="L11" i="8"/>
  <c r="L10" i="8" s="1"/>
  <c r="M9" i="8"/>
  <c r="M8" i="8"/>
  <c r="M7" i="8" s="1"/>
  <c r="L8" i="8"/>
  <c r="L7" i="8" s="1"/>
  <c r="J9" i="8"/>
  <c r="J8" i="8" s="1"/>
  <c r="J7" i="8" s="1"/>
  <c r="J69" i="8"/>
  <c r="J68" i="8" s="1"/>
  <c r="I68" i="8"/>
  <c r="J67" i="8"/>
  <c r="J66" i="8" s="1"/>
  <c r="I66" i="8"/>
  <c r="J65" i="8"/>
  <c r="J64" i="8" s="1"/>
  <c r="I64" i="8"/>
  <c r="J63" i="8"/>
  <c r="I55" i="8"/>
  <c r="J60" i="8"/>
  <c r="D11" i="13" s="1"/>
  <c r="D13" i="13" s="1"/>
  <c r="J59" i="8"/>
  <c r="J58" i="8"/>
  <c r="J57" i="8"/>
  <c r="J56" i="8"/>
  <c r="J52" i="8"/>
  <c r="J51" i="8"/>
  <c r="I50" i="8"/>
  <c r="J49" i="8"/>
  <c r="J48" i="8"/>
  <c r="J46" i="8"/>
  <c r="J45" i="8" s="1"/>
  <c r="I45" i="8"/>
  <c r="J44" i="8"/>
  <c r="J43" i="8"/>
  <c r="I42" i="8"/>
  <c r="J41" i="8"/>
  <c r="J39" i="8"/>
  <c r="J38" i="8" s="1"/>
  <c r="J37" i="8" s="1"/>
  <c r="I38" i="8"/>
  <c r="I37" i="8" s="1"/>
  <c r="J36" i="8"/>
  <c r="J35" i="8" s="1"/>
  <c r="I35" i="8"/>
  <c r="J33" i="8"/>
  <c r="J32" i="8"/>
  <c r="J31" i="8"/>
  <c r="J27" i="8"/>
  <c r="J26" i="8" s="1"/>
  <c r="I26" i="8"/>
  <c r="J25" i="8"/>
  <c r="J24" i="8"/>
  <c r="I23" i="8"/>
  <c r="J22" i="8"/>
  <c r="J21" i="8" s="1"/>
  <c r="I21" i="8"/>
  <c r="J19" i="8"/>
  <c r="J18" i="8"/>
  <c r="J17" i="8"/>
  <c r="J16" i="8"/>
  <c r="J15" i="8"/>
  <c r="J14" i="8"/>
  <c r="J13" i="8"/>
  <c r="J12" i="8"/>
  <c r="I11" i="8"/>
  <c r="I10" i="8" s="1"/>
  <c r="I8" i="8"/>
  <c r="I7" i="8" s="1"/>
  <c r="M42" i="8" l="1"/>
  <c r="F55" i="8"/>
  <c r="M11" i="9"/>
  <c r="M10" i="9" s="1"/>
  <c r="M9" i="9" s="1"/>
  <c r="M8" i="9" s="1"/>
  <c r="G16" i="9"/>
  <c r="G15" i="9" s="1"/>
  <c r="G14" i="9" s="1"/>
  <c r="I31" i="9"/>
  <c r="I30" i="9" s="1"/>
  <c r="I29" i="9" s="1"/>
  <c r="J36" i="12"/>
  <c r="K36" i="12" s="1"/>
  <c r="G11" i="11"/>
  <c r="M23" i="9"/>
  <c r="I70" i="9"/>
  <c r="J63" i="12"/>
  <c r="G41" i="11"/>
  <c r="P134" i="9"/>
  <c r="P133" i="9" s="1"/>
  <c r="P132" i="9" s="1"/>
  <c r="J276" i="12"/>
  <c r="K277" i="12"/>
  <c r="K276" i="12" s="1"/>
  <c r="J30" i="8"/>
  <c r="M30" i="8"/>
  <c r="I16" i="9"/>
  <c r="I15" i="9" s="1"/>
  <c r="I14" i="9" s="1"/>
  <c r="O16" i="9"/>
  <c r="O15" i="9" s="1"/>
  <c r="O14" i="9" s="1"/>
  <c r="P72" i="9"/>
  <c r="L119" i="9"/>
  <c r="O134" i="9"/>
  <c r="O133" i="9" s="1"/>
  <c r="O132" i="9" s="1"/>
  <c r="J147" i="9"/>
  <c r="J146" i="9" s="1"/>
  <c r="H146" i="9"/>
  <c r="J274" i="12"/>
  <c r="K275" i="12"/>
  <c r="K274" i="12" s="1"/>
  <c r="J47" i="8"/>
  <c r="J24" i="12"/>
  <c r="G14" i="11"/>
  <c r="J26" i="9"/>
  <c r="J25" i="9" s="1"/>
  <c r="J24" i="9" s="1"/>
  <c r="J35" i="12"/>
  <c r="G10" i="11"/>
  <c r="J78" i="9"/>
  <c r="J77" i="9" s="1"/>
  <c r="J76" i="9" s="1"/>
  <c r="H77" i="9"/>
  <c r="H76" i="9" s="1"/>
  <c r="I152" i="9"/>
  <c r="J248" i="12"/>
  <c r="G81" i="10"/>
  <c r="G79" i="10" s="1"/>
  <c r="E126" i="10"/>
  <c r="E125" i="10" s="1"/>
  <c r="K133" i="10"/>
  <c r="G120" i="10"/>
  <c r="G119" i="10" s="1"/>
  <c r="G118" i="10" s="1"/>
  <c r="G117" i="10" s="1"/>
  <c r="J76" i="12"/>
  <c r="G70" i="10"/>
  <c r="G69" i="10" s="1"/>
  <c r="G103" i="10"/>
  <c r="G108" i="10"/>
  <c r="M39" i="9"/>
  <c r="M38" i="9" s="1"/>
  <c r="M37" i="9" s="1"/>
  <c r="M36" i="9" s="1"/>
  <c r="K45" i="9"/>
  <c r="K44" i="9" s="1"/>
  <c r="K43" i="9" s="1"/>
  <c r="O45" i="9"/>
  <c r="O44" i="9" s="1"/>
  <c r="O43" i="9" s="1"/>
  <c r="N52" i="9"/>
  <c r="N51" i="9" s="1"/>
  <c r="N50" i="9" s="1"/>
  <c r="G69" i="9"/>
  <c r="G68" i="9" s="1"/>
  <c r="O88" i="9"/>
  <c r="O87" i="9" s="1"/>
  <c r="O86" i="9" s="1"/>
  <c r="N88" i="9"/>
  <c r="N87" i="9" s="1"/>
  <c r="N86" i="9" s="1"/>
  <c r="N79" i="9" s="1"/>
  <c r="K134" i="9"/>
  <c r="K133" i="9" s="1"/>
  <c r="K132" i="9" s="1"/>
  <c r="I145" i="9"/>
  <c r="I144" i="9" s="1"/>
  <c r="I143" i="9" s="1"/>
  <c r="J266" i="12"/>
  <c r="K267" i="12"/>
  <c r="K266" i="12" s="1"/>
  <c r="I189" i="9"/>
  <c r="I188" i="9" s="1"/>
  <c r="I187" i="9" s="1"/>
  <c r="J284" i="12"/>
  <c r="M216" i="9"/>
  <c r="H227" i="9"/>
  <c r="H18" i="11"/>
  <c r="H16" i="11" s="1"/>
  <c r="E23" i="11"/>
  <c r="I23" i="11"/>
  <c r="F19" i="10"/>
  <c r="N29" i="10"/>
  <c r="E46" i="10"/>
  <c r="H70" i="10"/>
  <c r="H69" i="10" s="1"/>
  <c r="E97" i="10"/>
  <c r="M126" i="10"/>
  <c r="M125" i="10" s="1"/>
  <c r="H143" i="10"/>
  <c r="H142" i="10" s="1"/>
  <c r="E133" i="10"/>
  <c r="L133" i="10"/>
  <c r="G20" i="10"/>
  <c r="G110" i="10"/>
  <c r="K68" i="9"/>
  <c r="P69" i="9"/>
  <c r="P77" i="9"/>
  <c r="P76" i="9" s="1"/>
  <c r="K79" i="9"/>
  <c r="J234" i="12"/>
  <c r="J228" i="12" s="1"/>
  <c r="J227" i="12" s="1"/>
  <c r="J226" i="12" s="1"/>
  <c r="K235" i="12"/>
  <c r="K234" i="12" s="1"/>
  <c r="K228" i="12" s="1"/>
  <c r="K227" i="12" s="1"/>
  <c r="K226" i="12" s="1"/>
  <c r="O145" i="9"/>
  <c r="O144" i="9" s="1"/>
  <c r="O143" i="9" s="1"/>
  <c r="F9" i="11"/>
  <c r="E28" i="11"/>
  <c r="N38" i="10"/>
  <c r="H80" i="10"/>
  <c r="H103" i="10"/>
  <c r="N133" i="10"/>
  <c r="H152" i="10"/>
  <c r="H151" i="10" s="1"/>
  <c r="H150" i="10" s="1"/>
  <c r="H149" i="10" s="1"/>
  <c r="H30" i="11"/>
  <c r="H29" i="11" s="1"/>
  <c r="M133" i="10"/>
  <c r="F22" i="10"/>
  <c r="G102" i="10"/>
  <c r="G109" i="10"/>
  <c r="G52" i="10"/>
  <c r="G51" i="10" s="1"/>
  <c r="G50" i="10" s="1"/>
  <c r="G45" i="9"/>
  <c r="G44" i="9" s="1"/>
  <c r="G43" i="9" s="1"/>
  <c r="M45" i="9"/>
  <c r="M44" i="9" s="1"/>
  <c r="M43" i="9" s="1"/>
  <c r="H59" i="9"/>
  <c r="P61" i="9"/>
  <c r="F88" i="9"/>
  <c r="F87" i="9" s="1"/>
  <c r="F86" i="9" s="1"/>
  <c r="F79" i="9" s="1"/>
  <c r="L88" i="9"/>
  <c r="L87" i="9" s="1"/>
  <c r="L86" i="9" s="1"/>
  <c r="K84" i="12"/>
  <c r="K83" i="12" s="1"/>
  <c r="J83" i="12"/>
  <c r="I94" i="9"/>
  <c r="J88" i="12"/>
  <c r="G125" i="9"/>
  <c r="G124" i="9" s="1"/>
  <c r="H135" i="9"/>
  <c r="M137" i="9"/>
  <c r="M134" i="9" s="1"/>
  <c r="M133" i="9" s="1"/>
  <c r="M132" i="9" s="1"/>
  <c r="H139" i="9"/>
  <c r="J139" i="9" s="1"/>
  <c r="F145" i="9"/>
  <c r="F144" i="9" s="1"/>
  <c r="F143" i="9" s="1"/>
  <c r="J151" i="9"/>
  <c r="J150" i="9" s="1"/>
  <c r="G152" i="9"/>
  <c r="J271" i="12"/>
  <c r="K272" i="12"/>
  <c r="K271" i="12" s="1"/>
  <c r="J124" i="12"/>
  <c r="J123" i="12" s="1"/>
  <c r="J122" i="12" s="1"/>
  <c r="J121" i="12" s="1"/>
  <c r="J120" i="12" s="1"/>
  <c r="J112" i="12" s="1"/>
  <c r="K125" i="12"/>
  <c r="K124" i="12" s="1"/>
  <c r="K123" i="12" s="1"/>
  <c r="K122" i="12" s="1"/>
  <c r="K121" i="12" s="1"/>
  <c r="K120" i="12" s="1"/>
  <c r="K112" i="12" s="1"/>
  <c r="H183" i="9"/>
  <c r="H244" i="9"/>
  <c r="H243" i="9" s="1"/>
  <c r="H241" i="9" s="1"/>
  <c r="H240" i="9" s="1"/>
  <c r="D8" i="11"/>
  <c r="I9" i="11"/>
  <c r="I8" i="11" s="1"/>
  <c r="J9" i="11"/>
  <c r="J8" i="11" s="1"/>
  <c r="E8" i="11"/>
  <c r="F19" i="11"/>
  <c r="G23" i="11"/>
  <c r="D23" i="11"/>
  <c r="H23" i="11"/>
  <c r="J28" i="11"/>
  <c r="I28" i="11"/>
  <c r="K19" i="10"/>
  <c r="N19" i="10"/>
  <c r="J26" i="10"/>
  <c r="F32" i="10"/>
  <c r="F68" i="10"/>
  <c r="H68" i="10" s="1"/>
  <c r="D133" i="10"/>
  <c r="I133" i="10"/>
  <c r="K22" i="10"/>
  <c r="G24" i="10"/>
  <c r="G67" i="10"/>
  <c r="G66" i="10" s="1"/>
  <c r="I112" i="12"/>
  <c r="H109" i="10"/>
  <c r="H108" i="10"/>
  <c r="M146" i="9"/>
  <c r="G73" i="10"/>
  <c r="G57" i="10" s="1"/>
  <c r="G56" i="10" s="1"/>
  <c r="H76" i="10"/>
  <c r="H59" i="10"/>
  <c r="H58" i="10" s="1"/>
  <c r="H100" i="10"/>
  <c r="H99" i="10" s="1"/>
  <c r="H23" i="10"/>
  <c r="G133" i="10"/>
  <c r="F27" i="10"/>
  <c r="L35" i="10"/>
  <c r="M35" i="10"/>
  <c r="K60" i="10"/>
  <c r="K63" i="10"/>
  <c r="F69" i="10"/>
  <c r="N102" i="10"/>
  <c r="E115" i="10"/>
  <c r="M119" i="10"/>
  <c r="M118" i="10" s="1"/>
  <c r="M117" i="10" s="1"/>
  <c r="F123" i="10"/>
  <c r="F122" i="10" s="1"/>
  <c r="F121" i="10" s="1"/>
  <c r="D126" i="10"/>
  <c r="D125" i="10" s="1"/>
  <c r="F147" i="10"/>
  <c r="J16" i="10"/>
  <c r="J15" i="10" s="1"/>
  <c r="L26" i="10"/>
  <c r="L25" i="10" s="1"/>
  <c r="F17" i="10"/>
  <c r="K32" i="10"/>
  <c r="K51" i="10"/>
  <c r="K50" i="10" s="1"/>
  <c r="N51" i="10"/>
  <c r="N50" i="10" s="1"/>
  <c r="N46" i="10" s="1"/>
  <c r="H83" i="10"/>
  <c r="H82" i="10" s="1"/>
  <c r="M88" i="10"/>
  <c r="M84" i="10" s="1"/>
  <c r="F130" i="10"/>
  <c r="F126" i="10" s="1"/>
  <c r="F125" i="10" s="1"/>
  <c r="F136" i="10"/>
  <c r="F138" i="10"/>
  <c r="H21" i="10"/>
  <c r="G19" i="10"/>
  <c r="H20" i="10"/>
  <c r="D7" i="11"/>
  <c r="D6" i="11" s="1"/>
  <c r="H44" i="11"/>
  <c r="H42" i="11" s="1"/>
  <c r="H145" i="10"/>
  <c r="H98" i="10"/>
  <c r="H97" i="10" s="1"/>
  <c r="F97" i="10"/>
  <c r="H116" i="10"/>
  <c r="H115" i="10" s="1"/>
  <c r="F115" i="10"/>
  <c r="N132" i="10"/>
  <c r="K132" i="10"/>
  <c r="M16" i="10"/>
  <c r="M15" i="10" s="1"/>
  <c r="N32" i="10"/>
  <c r="N26" i="10" s="1"/>
  <c r="G35" i="10"/>
  <c r="H49" i="10"/>
  <c r="H48" i="10" s="1"/>
  <c r="H47" i="10" s="1"/>
  <c r="G46" i="10"/>
  <c r="M46" i="10"/>
  <c r="K107" i="10"/>
  <c r="D16" i="10"/>
  <c r="D15" i="10" s="1"/>
  <c r="I26" i="10"/>
  <c r="M26" i="10"/>
  <c r="N60" i="10"/>
  <c r="N79" i="10"/>
  <c r="F99" i="10"/>
  <c r="K102" i="10"/>
  <c r="J46" i="10"/>
  <c r="F51" i="10"/>
  <c r="F50" i="10" s="1"/>
  <c r="J57" i="10"/>
  <c r="J56" i="10" s="1"/>
  <c r="L126" i="10"/>
  <c r="L125" i="10" s="1"/>
  <c r="E132" i="10"/>
  <c r="H135" i="10"/>
  <c r="H134" i="10" s="1"/>
  <c r="F63" i="10"/>
  <c r="H64" i="10"/>
  <c r="H63" i="10" s="1"/>
  <c r="F46" i="10"/>
  <c r="K99" i="10"/>
  <c r="E16" i="10"/>
  <c r="E15" i="10" s="1"/>
  <c r="N16" i="10"/>
  <c r="N15" i="10" s="1"/>
  <c r="E26" i="10"/>
  <c r="D26" i="10"/>
  <c r="D25" i="10" s="1"/>
  <c r="F31" i="10"/>
  <c r="H31" i="10" s="1"/>
  <c r="H29" i="10" s="1"/>
  <c r="F36" i="10"/>
  <c r="E35" i="10"/>
  <c r="F44" i="10"/>
  <c r="F43" i="10" s="1"/>
  <c r="F42" i="10" s="1"/>
  <c r="F58" i="10"/>
  <c r="D63" i="10"/>
  <c r="D57" i="10" s="1"/>
  <c r="D56" i="10" s="1"/>
  <c r="I57" i="10"/>
  <c r="I56" i="10" s="1"/>
  <c r="F67" i="10"/>
  <c r="H87" i="10"/>
  <c r="H86" i="10" s="1"/>
  <c r="H85" i="10" s="1"/>
  <c r="I88" i="10"/>
  <c r="I84" i="10" s="1"/>
  <c r="E88" i="10"/>
  <c r="E84" i="10" s="1"/>
  <c r="N107" i="10"/>
  <c r="N88" i="10" s="1"/>
  <c r="N84" i="10" s="1"/>
  <c r="K126" i="10"/>
  <c r="K125" i="10" s="1"/>
  <c r="D132" i="10"/>
  <c r="F13" i="10"/>
  <c r="F12" i="10" s="1"/>
  <c r="F11" i="10" s="1"/>
  <c r="M57" i="10"/>
  <c r="M56" i="10" s="1"/>
  <c r="K16" i="10"/>
  <c r="K15" i="10" s="1"/>
  <c r="K29" i="10"/>
  <c r="K26" i="10" s="1"/>
  <c r="N73" i="10"/>
  <c r="F94" i="10"/>
  <c r="G126" i="10"/>
  <c r="G125" i="10" s="1"/>
  <c r="M132" i="10"/>
  <c r="L132" i="10"/>
  <c r="I35" i="10"/>
  <c r="I25" i="10" s="1"/>
  <c r="K38" i="10"/>
  <c r="K35" i="10" s="1"/>
  <c r="H52" i="10"/>
  <c r="H51" i="10" s="1"/>
  <c r="H50" i="10" s="1"/>
  <c r="H46" i="10" s="1"/>
  <c r="F60" i="10"/>
  <c r="H72" i="10"/>
  <c r="H71" i="10" s="1"/>
  <c r="F90" i="10"/>
  <c r="H96" i="10"/>
  <c r="H94" i="10" s="1"/>
  <c r="F110" i="10"/>
  <c r="H110" i="10" s="1"/>
  <c r="H114" i="10"/>
  <c r="H113" i="10" s="1"/>
  <c r="I132" i="10"/>
  <c r="G132" i="10"/>
  <c r="H11" i="11"/>
  <c r="G9" i="11"/>
  <c r="H15" i="11"/>
  <c r="G13" i="11"/>
  <c r="H14" i="11"/>
  <c r="K46" i="10"/>
  <c r="H32" i="10"/>
  <c r="L46" i="10"/>
  <c r="F38" i="10"/>
  <c r="L57" i="10"/>
  <c r="L56" i="10" s="1"/>
  <c r="L88" i="10"/>
  <c r="L84" i="10" s="1"/>
  <c r="J88" i="10"/>
  <c r="J84" i="10" s="1"/>
  <c r="F156" i="10"/>
  <c r="F155" i="10" s="1"/>
  <c r="F154" i="10" s="1"/>
  <c r="H157" i="10"/>
  <c r="H156" i="10" s="1"/>
  <c r="H155" i="10" s="1"/>
  <c r="H154" i="10" s="1"/>
  <c r="F16" i="10"/>
  <c r="F15" i="10" s="1"/>
  <c r="H38" i="10"/>
  <c r="H35" i="10" s="1"/>
  <c r="H61" i="10"/>
  <c r="H60" i="10" s="1"/>
  <c r="H93" i="10"/>
  <c r="H92" i="10" s="1"/>
  <c r="G26" i="10"/>
  <c r="G25" i="10" s="1"/>
  <c r="N35" i="10"/>
  <c r="D46" i="10"/>
  <c r="E79" i="10"/>
  <c r="E57" i="10" s="1"/>
  <c r="E56" i="10" s="1"/>
  <c r="F81" i="10"/>
  <c r="H102" i="10"/>
  <c r="H120" i="10"/>
  <c r="H119" i="10" s="1"/>
  <c r="H118" i="10" s="1"/>
  <c r="H117" i="10" s="1"/>
  <c r="N126" i="10"/>
  <c r="N125" i="10" s="1"/>
  <c r="F140" i="10"/>
  <c r="H141" i="10"/>
  <c r="H140" i="10" s="1"/>
  <c r="J35" i="10"/>
  <c r="J25" i="10" s="1"/>
  <c r="K66" i="10"/>
  <c r="H74" i="10"/>
  <c r="H73" i="10" s="1"/>
  <c r="F73" i="10"/>
  <c r="H78" i="10"/>
  <c r="H77" i="10" s="1"/>
  <c r="F77" i="10"/>
  <c r="K94" i="10"/>
  <c r="F102" i="10"/>
  <c r="F111" i="10"/>
  <c r="H112" i="10"/>
  <c r="H111" i="10" s="1"/>
  <c r="J126" i="10"/>
  <c r="J125" i="10" s="1"/>
  <c r="D88" i="10"/>
  <c r="D84" i="10" s="1"/>
  <c r="J132" i="10"/>
  <c r="I23" i="9"/>
  <c r="P52" i="9"/>
  <c r="P51" i="9" s="1"/>
  <c r="J108" i="9"/>
  <c r="J107" i="9" s="1"/>
  <c r="J106" i="9" s="1"/>
  <c r="J105" i="9" s="1"/>
  <c r="J104" i="9" s="1"/>
  <c r="H107" i="9"/>
  <c r="H106" i="9" s="1"/>
  <c r="H105" i="9" s="1"/>
  <c r="H104" i="9" s="1"/>
  <c r="M17" i="9"/>
  <c r="M16" i="9" s="1"/>
  <c r="M15" i="9" s="1"/>
  <c r="M14" i="9" s="1"/>
  <c r="G23" i="9"/>
  <c r="F23" i="9"/>
  <c r="J73" i="9"/>
  <c r="J72" i="9" s="1"/>
  <c r="H211" i="9"/>
  <c r="H210" i="9" s="1"/>
  <c r="H209" i="9" s="1"/>
  <c r="H208" i="9" s="1"/>
  <c r="M229" i="9"/>
  <c r="M226" i="9" s="1"/>
  <c r="M225" i="9" s="1"/>
  <c r="M224" i="9" s="1"/>
  <c r="J233" i="9"/>
  <c r="J232" i="9" s="1"/>
  <c r="L16" i="9"/>
  <c r="L15" i="9" s="1"/>
  <c r="L14" i="9" s="1"/>
  <c r="N23" i="9"/>
  <c r="F52" i="9"/>
  <c r="F51" i="9" s="1"/>
  <c r="J12" i="9"/>
  <c r="P16" i="9"/>
  <c r="P15" i="9" s="1"/>
  <c r="P14" i="9" s="1"/>
  <c r="O68" i="9"/>
  <c r="J71" i="9"/>
  <c r="J70" i="9" s="1"/>
  <c r="H70" i="9"/>
  <c r="H69" i="9" s="1"/>
  <c r="H68" i="9" s="1"/>
  <c r="L79" i="9"/>
  <c r="J90" i="9"/>
  <c r="J89" i="9" s="1"/>
  <c r="H89" i="9"/>
  <c r="H88" i="9" s="1"/>
  <c r="H87" i="9" s="1"/>
  <c r="H86" i="9" s="1"/>
  <c r="H79" i="9" s="1"/>
  <c r="P88" i="9"/>
  <c r="P87" i="9" s="1"/>
  <c r="P86" i="9" s="1"/>
  <c r="P79" i="9" s="1"/>
  <c r="F215" i="9"/>
  <c r="F214" i="9" s="1"/>
  <c r="F213" i="9" s="1"/>
  <c r="J217" i="9"/>
  <c r="J216" i="9" s="1"/>
  <c r="H216" i="9"/>
  <c r="J33" i="9"/>
  <c r="J56" i="9"/>
  <c r="J55" i="9" s="1"/>
  <c r="F68" i="9"/>
  <c r="I69" i="9"/>
  <c r="I68" i="9" s="1"/>
  <c r="G88" i="9"/>
  <c r="G87" i="9" s="1"/>
  <c r="G86" i="9" s="1"/>
  <c r="G79" i="9" s="1"/>
  <c r="J92" i="9"/>
  <c r="J91" i="9" s="1"/>
  <c r="H94" i="9"/>
  <c r="G119" i="9"/>
  <c r="I125" i="9"/>
  <c r="I124" i="9" s="1"/>
  <c r="N119" i="9"/>
  <c r="M172" i="9"/>
  <c r="G177" i="9"/>
  <c r="P177" i="9"/>
  <c r="P162" i="9" s="1"/>
  <c r="P158" i="9" s="1"/>
  <c r="P157" i="9" s="1"/>
  <c r="J220" i="9"/>
  <c r="J219" i="9" s="1"/>
  <c r="H219" i="9"/>
  <c r="O225" i="9"/>
  <c r="O224" i="9" s="1"/>
  <c r="H236" i="9"/>
  <c r="H235" i="9" s="1"/>
  <c r="J237" i="9"/>
  <c r="I52" i="9"/>
  <c r="I51" i="9" s="1"/>
  <c r="I50" i="9" s="1"/>
  <c r="M69" i="9"/>
  <c r="L68" i="9"/>
  <c r="L109" i="9"/>
  <c r="L98" i="9" s="1"/>
  <c r="P109" i="9"/>
  <c r="K119" i="9"/>
  <c r="O119" i="9"/>
  <c r="O98" i="9" s="1"/>
  <c r="P125" i="9"/>
  <c r="P124" i="9" s="1"/>
  <c r="P119" i="9" s="1"/>
  <c r="P98" i="9" s="1"/>
  <c r="P145" i="9"/>
  <c r="P144" i="9" s="1"/>
  <c r="P143" i="9" s="1"/>
  <c r="K162" i="9"/>
  <c r="K158" i="9" s="1"/>
  <c r="K157" i="9" s="1"/>
  <c r="O162" i="9"/>
  <c r="O158" i="9" s="1"/>
  <c r="O157" i="9" s="1"/>
  <c r="O131" i="9" s="1"/>
  <c r="F162" i="9"/>
  <c r="L162" i="9"/>
  <c r="L158" i="9" s="1"/>
  <c r="L157" i="9" s="1"/>
  <c r="N215" i="9"/>
  <c r="N214" i="9" s="1"/>
  <c r="N213" i="9" s="1"/>
  <c r="L215" i="9"/>
  <c r="L214" i="9" s="1"/>
  <c r="L213" i="9" s="1"/>
  <c r="P236" i="9"/>
  <c r="P235" i="9" s="1"/>
  <c r="F134" i="9"/>
  <c r="F133" i="9" s="1"/>
  <c r="F132" i="9" s="1"/>
  <c r="N134" i="9"/>
  <c r="N133" i="9" s="1"/>
  <c r="N132" i="9" s="1"/>
  <c r="N131" i="9" s="1"/>
  <c r="N158" i="9"/>
  <c r="N157" i="9" s="1"/>
  <c r="J161" i="9"/>
  <c r="J160" i="9" s="1"/>
  <c r="J159" i="9" s="1"/>
  <c r="N162" i="9"/>
  <c r="M177" i="9"/>
  <c r="P219" i="9"/>
  <c r="F226" i="9"/>
  <c r="F225" i="9" s="1"/>
  <c r="F224" i="9" s="1"/>
  <c r="H231" i="9"/>
  <c r="J231" i="9" s="1"/>
  <c r="J229" i="9" s="1"/>
  <c r="J226" i="9" s="1"/>
  <c r="H37" i="11"/>
  <c r="I7" i="11"/>
  <c r="I6" i="11" s="1"/>
  <c r="K160" i="10" s="1"/>
  <c r="J7" i="11"/>
  <c r="J6" i="11" s="1"/>
  <c r="N160" i="10" s="1"/>
  <c r="E7" i="11"/>
  <c r="E6" i="11" s="1"/>
  <c r="H10" i="11"/>
  <c r="H9" i="11" s="1"/>
  <c r="F13" i="11"/>
  <c r="F8" i="11" s="1"/>
  <c r="H20" i="11"/>
  <c r="H19" i="11" s="1"/>
  <c r="F31" i="11"/>
  <c r="F37" i="11"/>
  <c r="F42" i="11"/>
  <c r="F48" i="11"/>
  <c r="F47" i="11" s="1"/>
  <c r="F51" i="11"/>
  <c r="F50" i="11" s="1"/>
  <c r="N7" i="9"/>
  <c r="H48" i="9"/>
  <c r="J49" i="9"/>
  <c r="J48" i="9" s="1"/>
  <c r="P68" i="9"/>
  <c r="F109" i="9"/>
  <c r="F98" i="9" s="1"/>
  <c r="J11" i="9"/>
  <c r="J10" i="9" s="1"/>
  <c r="J9" i="9" s="1"/>
  <c r="J8" i="9" s="1"/>
  <c r="P23" i="9"/>
  <c r="J31" i="9"/>
  <c r="J30" i="9" s="1"/>
  <c r="J29" i="9" s="1"/>
  <c r="J23" i="9" s="1"/>
  <c r="G52" i="9"/>
  <c r="G51" i="9" s="1"/>
  <c r="G50" i="9" s="1"/>
  <c r="G7" i="9" s="1"/>
  <c r="M52" i="9"/>
  <c r="M51" i="9" s="1"/>
  <c r="H53" i="9"/>
  <c r="J54" i="9"/>
  <c r="J53" i="9" s="1"/>
  <c r="H61" i="9"/>
  <c r="J62" i="9"/>
  <c r="J61" i="9" s="1"/>
  <c r="G98" i="9"/>
  <c r="K98" i="9"/>
  <c r="N109" i="9"/>
  <c r="N98" i="9" s="1"/>
  <c r="M119" i="9"/>
  <c r="L50" i="9"/>
  <c r="L7" i="9" s="1"/>
  <c r="J17" i="9"/>
  <c r="J16" i="9" s="1"/>
  <c r="J15" i="9" s="1"/>
  <c r="J14" i="9" s="1"/>
  <c r="O23" i="9"/>
  <c r="H31" i="9"/>
  <c r="H30" i="9" s="1"/>
  <c r="H29" i="9" s="1"/>
  <c r="H23" i="9" s="1"/>
  <c r="H39" i="9"/>
  <c r="H38" i="9" s="1"/>
  <c r="H37" i="9" s="1"/>
  <c r="H36" i="9" s="1"/>
  <c r="J40" i="9"/>
  <c r="J39" i="9" s="1"/>
  <c r="J38" i="9" s="1"/>
  <c r="J37" i="9" s="1"/>
  <c r="J36" i="9" s="1"/>
  <c r="H46" i="9"/>
  <c r="J47" i="9"/>
  <c r="J46" i="9" s="1"/>
  <c r="P50" i="9"/>
  <c r="K52" i="9"/>
  <c r="K51" i="9" s="1"/>
  <c r="K50" i="9" s="1"/>
  <c r="K7" i="9" s="1"/>
  <c r="O52" i="9"/>
  <c r="O51" i="9" s="1"/>
  <c r="M68" i="9"/>
  <c r="J179" i="9"/>
  <c r="H177" i="9"/>
  <c r="I11" i="9"/>
  <c r="I10" i="9" s="1"/>
  <c r="I9" i="9" s="1"/>
  <c r="I8" i="9" s="1"/>
  <c r="I7" i="9" s="1"/>
  <c r="H17" i="9"/>
  <c r="H16" i="9" s="1"/>
  <c r="H15" i="9" s="1"/>
  <c r="H14" i="9" s="1"/>
  <c r="H57" i="9"/>
  <c r="H66" i="9"/>
  <c r="I91" i="9"/>
  <c r="I88" i="9" s="1"/>
  <c r="I87" i="9" s="1"/>
  <c r="I86" i="9" s="1"/>
  <c r="I79" i="9" s="1"/>
  <c r="J117" i="9"/>
  <c r="J116" i="9" s="1"/>
  <c r="J115" i="9" s="1"/>
  <c r="J114" i="9" s="1"/>
  <c r="J142" i="9"/>
  <c r="J141" i="9" s="1"/>
  <c r="I141" i="9"/>
  <c r="I134" i="9" s="1"/>
  <c r="I133" i="9" s="1"/>
  <c r="I132" i="9" s="1"/>
  <c r="L145" i="9"/>
  <c r="L144" i="9" s="1"/>
  <c r="L143" i="9" s="1"/>
  <c r="H155" i="9"/>
  <c r="H145" i="9" s="1"/>
  <c r="H144" i="9" s="1"/>
  <c r="H143" i="9" s="1"/>
  <c r="J156" i="9"/>
  <c r="J155" i="9" s="1"/>
  <c r="H165" i="9"/>
  <c r="J166" i="9"/>
  <c r="J165" i="9" s="1"/>
  <c r="J113" i="9"/>
  <c r="J112" i="9" s="1"/>
  <c r="J111" i="9" s="1"/>
  <c r="J110" i="9" s="1"/>
  <c r="I112" i="9"/>
  <c r="I111" i="9" s="1"/>
  <c r="I110" i="9" s="1"/>
  <c r="I109" i="9" s="1"/>
  <c r="H122" i="9"/>
  <c r="H121" i="9" s="1"/>
  <c r="H120" i="9" s="1"/>
  <c r="J123" i="9"/>
  <c r="J122" i="9" s="1"/>
  <c r="J121" i="9" s="1"/>
  <c r="J120" i="9" s="1"/>
  <c r="K131" i="9"/>
  <c r="L134" i="9"/>
  <c r="L133" i="9" s="1"/>
  <c r="L132" i="9" s="1"/>
  <c r="J138" i="9"/>
  <c r="J137" i="9" s="1"/>
  <c r="H137" i="9"/>
  <c r="H134" i="9" s="1"/>
  <c r="H133" i="9" s="1"/>
  <c r="H132" i="9" s="1"/>
  <c r="H83" i="9"/>
  <c r="H82" i="9" s="1"/>
  <c r="H81" i="9" s="1"/>
  <c r="H80" i="9" s="1"/>
  <c r="O79" i="9"/>
  <c r="M94" i="9"/>
  <c r="M88" i="9" s="1"/>
  <c r="M87" i="9" s="1"/>
  <c r="M86" i="9" s="1"/>
  <c r="M79" i="9" s="1"/>
  <c r="J96" i="9"/>
  <c r="J94" i="9" s="1"/>
  <c r="M116" i="9"/>
  <c r="M115" i="9" s="1"/>
  <c r="M114" i="9" s="1"/>
  <c r="M109" i="9" s="1"/>
  <c r="M98" i="9" s="1"/>
  <c r="I119" i="9"/>
  <c r="H129" i="9"/>
  <c r="H125" i="9" s="1"/>
  <c r="H124" i="9" s="1"/>
  <c r="J130" i="9"/>
  <c r="J129" i="9" s="1"/>
  <c r="J125" i="9" s="1"/>
  <c r="J124" i="9" s="1"/>
  <c r="G137" i="9"/>
  <c r="G134" i="9" s="1"/>
  <c r="G133" i="9" s="1"/>
  <c r="G132" i="9" s="1"/>
  <c r="G145" i="9"/>
  <c r="G144" i="9" s="1"/>
  <c r="G143" i="9" s="1"/>
  <c r="H181" i="9"/>
  <c r="J182" i="9"/>
  <c r="J181" i="9" s="1"/>
  <c r="J223" i="9"/>
  <c r="J222" i="9" s="1"/>
  <c r="H222" i="9"/>
  <c r="M145" i="9"/>
  <c r="M144" i="9" s="1"/>
  <c r="M143" i="9" s="1"/>
  <c r="F158" i="9"/>
  <c r="F157" i="9" s="1"/>
  <c r="F131" i="9" s="1"/>
  <c r="J178" i="9"/>
  <c r="I177" i="9"/>
  <c r="M190" i="9"/>
  <c r="M189" i="9" s="1"/>
  <c r="M188" i="9" s="1"/>
  <c r="M187" i="9" s="1"/>
  <c r="H199" i="9"/>
  <c r="H197" i="9" s="1"/>
  <c r="H196" i="9" s="1"/>
  <c r="H195" i="9" s="1"/>
  <c r="J200" i="9"/>
  <c r="J199" i="9" s="1"/>
  <c r="J197" i="9" s="1"/>
  <c r="J196" i="9" s="1"/>
  <c r="J195" i="9" s="1"/>
  <c r="G215" i="9"/>
  <c r="G214" i="9" s="1"/>
  <c r="G213" i="9" s="1"/>
  <c r="P226" i="9"/>
  <c r="P225" i="9" s="1"/>
  <c r="P224" i="9" s="1"/>
  <c r="H256" i="9"/>
  <c r="H255" i="9" s="1"/>
  <c r="H254" i="9" s="1"/>
  <c r="H253" i="9" s="1"/>
  <c r="H252" i="9" s="1"/>
  <c r="J257" i="9"/>
  <c r="J256" i="9" s="1"/>
  <c r="J255" i="9" s="1"/>
  <c r="J254" i="9" s="1"/>
  <c r="J253" i="9" s="1"/>
  <c r="J252" i="9" s="1"/>
  <c r="M162" i="9"/>
  <c r="M158" i="9" s="1"/>
  <c r="M157" i="9" s="1"/>
  <c r="H167" i="9"/>
  <c r="H205" i="9"/>
  <c r="H204" i="9" s="1"/>
  <c r="H202" i="9" s="1"/>
  <c r="H201" i="9" s="1"/>
  <c r="J206" i="9"/>
  <c r="J205" i="9" s="1"/>
  <c r="J204" i="9" s="1"/>
  <c r="J202" i="9" s="1"/>
  <c r="J201" i="9" s="1"/>
  <c r="G225" i="9"/>
  <c r="G224" i="9" s="1"/>
  <c r="J154" i="9"/>
  <c r="J152" i="9" s="1"/>
  <c r="J169" i="9"/>
  <c r="J167" i="9" s="1"/>
  <c r="H172" i="9"/>
  <c r="J173" i="9"/>
  <c r="J172" i="9" s="1"/>
  <c r="I172" i="9"/>
  <c r="I162" i="9" s="1"/>
  <c r="I158" i="9" s="1"/>
  <c r="I157" i="9" s="1"/>
  <c r="G185" i="9"/>
  <c r="G162" i="9" s="1"/>
  <c r="G158" i="9" s="1"/>
  <c r="G157" i="9" s="1"/>
  <c r="J186" i="9"/>
  <c r="J185" i="9" s="1"/>
  <c r="J191" i="9"/>
  <c r="J190" i="9" s="1"/>
  <c r="J189" i="9" s="1"/>
  <c r="J188" i="9" s="1"/>
  <c r="J187" i="9" s="1"/>
  <c r="P215" i="9"/>
  <c r="P214" i="9" s="1"/>
  <c r="P213" i="9" s="1"/>
  <c r="P207" i="9" s="1"/>
  <c r="K225" i="9"/>
  <c r="K224" i="9" s="1"/>
  <c r="K207" i="9" s="1"/>
  <c r="O215" i="9"/>
  <c r="O214" i="9" s="1"/>
  <c r="O213" i="9" s="1"/>
  <c r="O207" i="9" s="1"/>
  <c r="H215" i="9"/>
  <c r="H214" i="9" s="1"/>
  <c r="H213" i="9" s="1"/>
  <c r="M219" i="9"/>
  <c r="M215" i="9" s="1"/>
  <c r="M214" i="9" s="1"/>
  <c r="M213" i="9" s="1"/>
  <c r="L225" i="9"/>
  <c r="L224" i="9" s="1"/>
  <c r="H229" i="9"/>
  <c r="H226" i="9" s="1"/>
  <c r="H225" i="9" s="1"/>
  <c r="H224" i="9" s="1"/>
  <c r="M236" i="9"/>
  <c r="M235" i="9" s="1"/>
  <c r="I226" i="9"/>
  <c r="I225" i="9" s="1"/>
  <c r="I224" i="9" s="1"/>
  <c r="I207" i="9" s="1"/>
  <c r="N226" i="9"/>
  <c r="N225" i="9" s="1"/>
  <c r="N224" i="9" s="1"/>
  <c r="N207" i="9" s="1"/>
  <c r="J236" i="9"/>
  <c r="J235" i="9" s="1"/>
  <c r="J42" i="8"/>
  <c r="J40" i="8" s="1"/>
  <c r="L20" i="8"/>
  <c r="M23" i="8"/>
  <c r="M20" i="8" s="1"/>
  <c r="J29" i="8"/>
  <c r="I40" i="8"/>
  <c r="L29" i="8"/>
  <c r="L28" i="8" s="1"/>
  <c r="I54" i="8"/>
  <c r="M55" i="8"/>
  <c r="M54" i="8" s="1"/>
  <c r="L54" i="8"/>
  <c r="I20" i="8"/>
  <c r="J50" i="8"/>
  <c r="M50" i="8"/>
  <c r="M40" i="8"/>
  <c r="J23" i="8"/>
  <c r="J20" i="8" s="1"/>
  <c r="I29" i="8"/>
  <c r="M29" i="8"/>
  <c r="L6" i="8"/>
  <c r="M11" i="8"/>
  <c r="M10" i="8" s="1"/>
  <c r="J11" i="8"/>
  <c r="J10" i="8" s="1"/>
  <c r="I6" i="8"/>
  <c r="J55" i="8"/>
  <c r="J54" i="8" s="1"/>
  <c r="D11" i="8"/>
  <c r="F10" i="8"/>
  <c r="H11" i="8"/>
  <c r="K11" i="8"/>
  <c r="C11" i="8"/>
  <c r="E19" i="8"/>
  <c r="G19" i="8" s="1"/>
  <c r="E17" i="8"/>
  <c r="G17" i="8" s="1"/>
  <c r="E15" i="8"/>
  <c r="G15" i="8" s="1"/>
  <c r="E13" i="8"/>
  <c r="G13" i="8" s="1"/>
  <c r="G49" i="8"/>
  <c r="F37" i="8"/>
  <c r="F26" i="8"/>
  <c r="F23" i="8"/>
  <c r="F21" i="8"/>
  <c r="E9" i="8"/>
  <c r="D60" i="8"/>
  <c r="D50" i="8"/>
  <c r="J145" i="9" l="1"/>
  <c r="J144" i="9" s="1"/>
  <c r="J143" i="9" s="1"/>
  <c r="M131" i="9"/>
  <c r="J134" i="9"/>
  <c r="J133" i="9" s="1"/>
  <c r="J132" i="9" s="1"/>
  <c r="H22" i="10"/>
  <c r="J256" i="12"/>
  <c r="J252" i="12" s="1"/>
  <c r="J251" i="12" s="1"/>
  <c r="J34" i="12"/>
  <c r="J33" i="12" s="1"/>
  <c r="J32" i="12" s="1"/>
  <c r="J26" i="12" s="1"/>
  <c r="K35" i="12"/>
  <c r="K34" i="12" s="1"/>
  <c r="K33" i="12" s="1"/>
  <c r="K32" i="12" s="1"/>
  <c r="K26" i="12" s="1"/>
  <c r="G40" i="11"/>
  <c r="G28" i="11" s="1"/>
  <c r="H41" i="11"/>
  <c r="H40" i="11" s="1"/>
  <c r="G9" i="8"/>
  <c r="G8" i="8" s="1"/>
  <c r="G7" i="8" s="1"/>
  <c r="E8" i="8"/>
  <c r="I28" i="8"/>
  <c r="G207" i="9"/>
  <c r="F35" i="10"/>
  <c r="F133" i="10"/>
  <c r="F132" i="10" s="1"/>
  <c r="J283" i="12"/>
  <c r="J282" i="12" s="1"/>
  <c r="J281" i="12" s="1"/>
  <c r="J280" i="12" s="1"/>
  <c r="K284" i="12"/>
  <c r="K283" i="12" s="1"/>
  <c r="K282" i="12" s="1"/>
  <c r="K281" i="12" s="1"/>
  <c r="K280" i="12" s="1"/>
  <c r="J62" i="12"/>
  <c r="J61" i="12" s="1"/>
  <c r="J60" i="12" s="1"/>
  <c r="J46" i="12" s="1"/>
  <c r="K63" i="12"/>
  <c r="K62" i="12" s="1"/>
  <c r="K61" i="12" s="1"/>
  <c r="K60" i="12" s="1"/>
  <c r="K46" i="12" s="1"/>
  <c r="H162" i="9"/>
  <c r="H158" i="9" s="1"/>
  <c r="H157" i="9" s="1"/>
  <c r="J225" i="9"/>
  <c r="J224" i="9" s="1"/>
  <c r="G16" i="10"/>
  <c r="G15" i="10" s="1"/>
  <c r="G6" i="10" s="1"/>
  <c r="H24" i="10"/>
  <c r="G22" i="10"/>
  <c r="K88" i="12"/>
  <c r="K86" i="12" s="1"/>
  <c r="K80" i="12" s="1"/>
  <c r="K79" i="12" s="1"/>
  <c r="K78" i="12" s="1"/>
  <c r="K71" i="12" s="1"/>
  <c r="J86" i="12"/>
  <c r="J80" i="12" s="1"/>
  <c r="J79" i="12" s="1"/>
  <c r="J78" i="12" s="1"/>
  <c r="J71" i="12" s="1"/>
  <c r="J75" i="12"/>
  <c r="J74" i="12" s="1"/>
  <c r="J73" i="12" s="1"/>
  <c r="J72" i="12" s="1"/>
  <c r="K76" i="12"/>
  <c r="K75" i="12" s="1"/>
  <c r="K74" i="12" s="1"/>
  <c r="K73" i="12" s="1"/>
  <c r="K72" i="12" s="1"/>
  <c r="F6" i="8"/>
  <c r="K256" i="12"/>
  <c r="K252" i="12" s="1"/>
  <c r="K251" i="12" s="1"/>
  <c r="G107" i="10"/>
  <c r="G88" i="10" s="1"/>
  <c r="G84" i="10" s="1"/>
  <c r="J246" i="12"/>
  <c r="J239" i="12" s="1"/>
  <c r="J238" i="12" s="1"/>
  <c r="J237" i="12" s="1"/>
  <c r="J225" i="12" s="1"/>
  <c r="J198" i="12" s="1"/>
  <c r="K248" i="12"/>
  <c r="K246" i="12" s="1"/>
  <c r="K239" i="12" s="1"/>
  <c r="K238" i="12" s="1"/>
  <c r="K237" i="12" s="1"/>
  <c r="K225" i="12" s="1"/>
  <c r="K198" i="12" s="1"/>
  <c r="J23" i="12"/>
  <c r="J22" i="12" s="1"/>
  <c r="J21" i="12" s="1"/>
  <c r="J20" i="12" s="1"/>
  <c r="K24" i="12"/>
  <c r="K23" i="12" s="1"/>
  <c r="K22" i="12" s="1"/>
  <c r="K21" i="12" s="1"/>
  <c r="K20" i="12" s="1"/>
  <c r="I18" i="12"/>
  <c r="L5" i="8"/>
  <c r="L70" i="8" s="1"/>
  <c r="O261" i="9" s="1"/>
  <c r="H107" i="10"/>
  <c r="H88" i="10" s="1"/>
  <c r="H84" i="10" s="1"/>
  <c r="N57" i="10"/>
  <c r="N56" i="10" s="1"/>
  <c r="K88" i="10"/>
  <c r="K84" i="10" s="1"/>
  <c r="H133" i="10"/>
  <c r="H132" i="10" s="1"/>
  <c r="M25" i="10"/>
  <c r="K57" i="10"/>
  <c r="K56" i="10" s="1"/>
  <c r="N25" i="10"/>
  <c r="H19" i="10"/>
  <c r="F28" i="11"/>
  <c r="F7" i="11" s="1"/>
  <c r="F6" i="11" s="1"/>
  <c r="H28" i="11"/>
  <c r="F107" i="10"/>
  <c r="F88" i="10" s="1"/>
  <c r="F84" i="10" s="1"/>
  <c r="I6" i="10"/>
  <c r="M6" i="10"/>
  <c r="J6" i="10"/>
  <c r="H67" i="10"/>
  <c r="H66" i="10" s="1"/>
  <c r="F66" i="10"/>
  <c r="H26" i="10"/>
  <c r="H25" i="10" s="1"/>
  <c r="D6" i="10"/>
  <c r="F29" i="10"/>
  <c r="F26" i="10" s="1"/>
  <c r="E25" i="10"/>
  <c r="E6" i="10" s="1"/>
  <c r="G8" i="11"/>
  <c r="G7" i="11" s="1"/>
  <c r="G6" i="11" s="1"/>
  <c r="H13" i="11"/>
  <c r="H8" i="11"/>
  <c r="F25" i="10"/>
  <c r="H81" i="10"/>
  <c r="H79" i="10" s="1"/>
  <c r="F79" i="10"/>
  <c r="K25" i="10"/>
  <c r="L6" i="10"/>
  <c r="P131" i="9"/>
  <c r="J45" i="9"/>
  <c r="J44" i="9" s="1"/>
  <c r="J43" i="9" s="1"/>
  <c r="J52" i="9"/>
  <c r="J51" i="9" s="1"/>
  <c r="L207" i="9"/>
  <c r="J177" i="9"/>
  <c r="J162" i="9" s="1"/>
  <c r="J158" i="9" s="1"/>
  <c r="J157" i="9" s="1"/>
  <c r="J131" i="9" s="1"/>
  <c r="J215" i="9"/>
  <c r="J214" i="9" s="1"/>
  <c r="J213" i="9" s="1"/>
  <c r="J207" i="9" s="1"/>
  <c r="I98" i="9"/>
  <c r="O50" i="9"/>
  <c r="O7" i="9" s="1"/>
  <c r="O6" i="9" s="1"/>
  <c r="H52" i="9"/>
  <c r="H51" i="9" s="1"/>
  <c r="H50" i="9" s="1"/>
  <c r="P7" i="9"/>
  <c r="J69" i="9"/>
  <c r="J68" i="9" s="1"/>
  <c r="F207" i="9"/>
  <c r="M207" i="9"/>
  <c r="H207" i="9"/>
  <c r="F50" i="9"/>
  <c r="F7" i="9" s="1"/>
  <c r="K6" i="9"/>
  <c r="H119" i="9"/>
  <c r="H98" i="9" s="1"/>
  <c r="G131" i="9"/>
  <c r="G6" i="9" s="1"/>
  <c r="J109" i="9"/>
  <c r="I131" i="9"/>
  <c r="I6" i="9" s="1"/>
  <c r="M50" i="9"/>
  <c r="M7" i="9" s="1"/>
  <c r="M6" i="9" s="1"/>
  <c r="L131" i="9"/>
  <c r="J119" i="9"/>
  <c r="H45" i="9"/>
  <c r="H44" i="9" s="1"/>
  <c r="H43" i="9" s="1"/>
  <c r="F6" i="9"/>
  <c r="H131" i="9"/>
  <c r="J88" i="9"/>
  <c r="J87" i="9" s="1"/>
  <c r="J86" i="9" s="1"/>
  <c r="J79" i="9" s="1"/>
  <c r="N6" i="9"/>
  <c r="M6" i="8"/>
  <c r="M28" i="8"/>
  <c r="M5" i="8" s="1"/>
  <c r="M70" i="8" s="1"/>
  <c r="J28" i="8"/>
  <c r="J6" i="8"/>
  <c r="I5" i="8"/>
  <c r="I70" i="8" s="1"/>
  <c r="L261" i="9" s="1"/>
  <c r="F54" i="8"/>
  <c r="F40" i="8"/>
  <c r="F29" i="8"/>
  <c r="F28" i="8" s="1"/>
  <c r="F20" i="8"/>
  <c r="D69" i="8"/>
  <c r="D65" i="8"/>
  <c r="J291" i="12" l="1"/>
  <c r="Q78" i="9"/>
  <c r="Q80" i="9" s="1"/>
  <c r="N291" i="12"/>
  <c r="N293" i="12" s="1"/>
  <c r="D15" i="14"/>
  <c r="K163" i="10"/>
  <c r="F5" i="8"/>
  <c r="F70" i="8" s="1"/>
  <c r="I261" i="9" s="1"/>
  <c r="I263" i="9" s="1"/>
  <c r="L291" i="12"/>
  <c r="L293" i="12" s="1"/>
  <c r="T78" i="9"/>
  <c r="T80" i="9" s="1"/>
  <c r="H7" i="9"/>
  <c r="H6" i="9" s="1"/>
  <c r="E14" i="14"/>
  <c r="P261" i="9"/>
  <c r="H16" i="10"/>
  <c r="H15" i="10" s="1"/>
  <c r="J19" i="12"/>
  <c r="J18" i="12" s="1"/>
  <c r="J6" i="12" s="1"/>
  <c r="O291" i="12"/>
  <c r="O293" i="12" s="1"/>
  <c r="P291" i="12"/>
  <c r="P293" i="12" s="1"/>
  <c r="O263" i="9"/>
  <c r="L6" i="9"/>
  <c r="P6" i="9"/>
  <c r="K19" i="12"/>
  <c r="K18" i="12" s="1"/>
  <c r="K6" i="12" s="1"/>
  <c r="I6" i="12"/>
  <c r="K6" i="10"/>
  <c r="K161" i="10" s="1"/>
  <c r="N6" i="10"/>
  <c r="N161" i="10" s="1"/>
  <c r="H57" i="10"/>
  <c r="H56" i="10" s="1"/>
  <c r="H6" i="10" s="1"/>
  <c r="H7" i="11"/>
  <c r="H6" i="11" s="1"/>
  <c r="H160" i="10" s="1"/>
  <c r="H161" i="10" s="1"/>
  <c r="F57" i="10"/>
  <c r="F56" i="10" s="1"/>
  <c r="F6" i="10" s="1"/>
  <c r="J50" i="9"/>
  <c r="J7" i="9" s="1"/>
  <c r="J98" i="9"/>
  <c r="J5" i="8"/>
  <c r="J70" i="8" s="1"/>
  <c r="H50" i="8"/>
  <c r="K50" i="8"/>
  <c r="I291" i="12" l="1"/>
  <c r="I293" i="12" s="1"/>
  <c r="Q291" i="12"/>
  <c r="Q293" i="12" s="1"/>
  <c r="R78" i="9"/>
  <c r="R80" i="9" s="1"/>
  <c r="P263" i="9"/>
  <c r="E15" i="14"/>
  <c r="N163" i="10"/>
  <c r="N165" i="10" s="1"/>
  <c r="J293" i="12"/>
  <c r="M261" i="9"/>
  <c r="M263" i="9" s="1"/>
  <c r="D14" i="14"/>
  <c r="D13" i="14" s="1"/>
  <c r="D11" i="14" s="1"/>
  <c r="D18" i="14" s="1"/>
  <c r="K165" i="10"/>
  <c r="M291" i="12"/>
  <c r="M293" i="12" s="1"/>
  <c r="L263" i="9"/>
  <c r="E13" i="14"/>
  <c r="E11" i="14" s="1"/>
  <c r="E18" i="14" s="1"/>
  <c r="J6" i="9"/>
  <c r="D66" i="8"/>
  <c r="K291" i="12" l="1"/>
  <c r="K293" i="12" s="1"/>
  <c r="C15" i="14"/>
  <c r="H163" i="10"/>
  <c r="H165" i="10" s="1"/>
  <c r="E39" i="8"/>
  <c r="D38" i="8"/>
  <c r="D37" i="8" s="1"/>
  <c r="H38" i="8"/>
  <c r="H37" i="8" s="1"/>
  <c r="K38" i="8"/>
  <c r="K37" i="8" s="1"/>
  <c r="C38" i="8"/>
  <c r="C37" i="8" s="1"/>
  <c r="E38" i="8" l="1"/>
  <c r="E37" i="8" s="1"/>
  <c r="G39" i="8"/>
  <c r="G38" i="8" s="1"/>
  <c r="G37" i="8" s="1"/>
  <c r="E24" i="8"/>
  <c r="G24" i="8" s="1"/>
  <c r="E7" i="8" l="1"/>
  <c r="E44" i="8"/>
  <c r="G44" i="8" s="1"/>
  <c r="E43" i="8"/>
  <c r="G43" i="8" s="1"/>
  <c r="G42" i="8" s="1"/>
  <c r="D42" i="8"/>
  <c r="C42" i="8"/>
  <c r="D45" i="8"/>
  <c r="E46" i="8"/>
  <c r="E48" i="8"/>
  <c r="E47" i="8" s="1"/>
  <c r="D8" i="8"/>
  <c r="D7" i="8" s="1"/>
  <c r="E69" i="8"/>
  <c r="E67" i="8"/>
  <c r="D68" i="8"/>
  <c r="C68" i="8"/>
  <c r="C66" i="8"/>
  <c r="E65" i="8"/>
  <c r="D64" i="8"/>
  <c r="C64" i="8"/>
  <c r="D55" i="8"/>
  <c r="C55" i="8"/>
  <c r="E60" i="8"/>
  <c r="G60" i="8" s="1"/>
  <c r="C11" i="13" s="1"/>
  <c r="E49" i="8"/>
  <c r="E63" i="8"/>
  <c r="E61" i="8" s="1"/>
  <c r="E59" i="8"/>
  <c r="G59" i="8" s="1"/>
  <c r="C10" i="13" s="1"/>
  <c r="E58" i="8"/>
  <c r="G58" i="8" s="1"/>
  <c r="C9" i="13" s="1"/>
  <c r="E57" i="8"/>
  <c r="G57" i="8" s="1"/>
  <c r="C8" i="13" s="1"/>
  <c r="E56" i="8"/>
  <c r="G56" i="8" s="1"/>
  <c r="E51" i="8"/>
  <c r="G51" i="8" s="1"/>
  <c r="E36" i="8"/>
  <c r="D35" i="8"/>
  <c r="E33" i="8"/>
  <c r="G33" i="8" s="1"/>
  <c r="E32" i="8"/>
  <c r="G32" i="8" s="1"/>
  <c r="E31" i="8"/>
  <c r="D30" i="8"/>
  <c r="E27" i="8"/>
  <c r="D26" i="8"/>
  <c r="E25" i="8"/>
  <c r="D23" i="8"/>
  <c r="E22" i="8"/>
  <c r="D21" i="8"/>
  <c r="E18" i="8"/>
  <c r="G18" i="8" s="1"/>
  <c r="E16" i="8"/>
  <c r="G16" i="8" s="1"/>
  <c r="E14" i="8"/>
  <c r="G14" i="8" s="1"/>
  <c r="E12" i="8"/>
  <c r="D10" i="8"/>
  <c r="G31" i="8" l="1"/>
  <c r="G30" i="8" s="1"/>
  <c r="E30" i="8"/>
  <c r="G12" i="8"/>
  <c r="G11" i="8" s="1"/>
  <c r="G10" i="8" s="1"/>
  <c r="E11" i="8"/>
  <c r="E10" i="8" s="1"/>
  <c r="E55" i="8"/>
  <c r="G63" i="8"/>
  <c r="C12" i="13" s="1"/>
  <c r="C13" i="13" s="1"/>
  <c r="E68" i="8"/>
  <c r="G69" i="8"/>
  <c r="G68" i="8" s="1"/>
  <c r="E64" i="8"/>
  <c r="G65" i="8"/>
  <c r="G64" i="8" s="1"/>
  <c r="E45" i="8"/>
  <c r="G46" i="8"/>
  <c r="G45" i="8" s="1"/>
  <c r="G40" i="8" s="1"/>
  <c r="E21" i="8"/>
  <c r="G22" i="8"/>
  <c r="G21" i="8" s="1"/>
  <c r="E26" i="8"/>
  <c r="G27" i="8"/>
  <c r="G26" i="8" s="1"/>
  <c r="E66" i="8"/>
  <c r="G67" i="8"/>
  <c r="G66" i="8" s="1"/>
  <c r="E23" i="8"/>
  <c r="G25" i="8"/>
  <c r="G23" i="8" s="1"/>
  <c r="E35" i="8"/>
  <c r="G36" i="8"/>
  <c r="G35" i="8" s="1"/>
  <c r="G48" i="8"/>
  <c r="G47" i="8" s="1"/>
  <c r="D54" i="8"/>
  <c r="C54" i="8"/>
  <c r="E42" i="8"/>
  <c r="D40" i="8"/>
  <c r="D20" i="8"/>
  <c r="D6" i="8" s="1"/>
  <c r="D29" i="8"/>
  <c r="E41" i="8"/>
  <c r="G41" i="8" s="1"/>
  <c r="G61" i="8" l="1"/>
  <c r="G55" i="8" s="1"/>
  <c r="G54" i="8" s="1"/>
  <c r="E54" i="8"/>
  <c r="E40" i="8"/>
  <c r="G20" i="8"/>
  <c r="G6" i="8" s="1"/>
  <c r="E29" i="8"/>
  <c r="E20" i="8"/>
  <c r="E6" i="8" s="1"/>
  <c r="G29" i="8"/>
  <c r="D28" i="8"/>
  <c r="D5" i="8" s="1"/>
  <c r="D70" i="8" s="1"/>
  <c r="E52" i="8"/>
  <c r="G52" i="8" s="1"/>
  <c r="G50" i="8" s="1"/>
  <c r="G28" i="8" l="1"/>
  <c r="G5" i="8" s="1"/>
  <c r="G70" i="8" s="1"/>
  <c r="E50" i="8"/>
  <c r="E28" i="8" s="1"/>
  <c r="E5" i="8" s="1"/>
  <c r="K68" i="8"/>
  <c r="H68" i="8"/>
  <c r="K66" i="8"/>
  <c r="H66" i="8"/>
  <c r="K64" i="8"/>
  <c r="H64" i="8"/>
  <c r="K55" i="8"/>
  <c r="H55" i="8"/>
  <c r="K45" i="8"/>
  <c r="H45" i="8"/>
  <c r="C45" i="8"/>
  <c r="C40" i="8" s="1"/>
  <c r="K42" i="8"/>
  <c r="H42" i="8"/>
  <c r="K35" i="8"/>
  <c r="H35" i="8"/>
  <c r="C35" i="8"/>
  <c r="C30" i="8"/>
  <c r="K26" i="8"/>
  <c r="H26" i="8"/>
  <c r="C26" i="8"/>
  <c r="K23" i="8"/>
  <c r="H23" i="8"/>
  <c r="C23" i="8"/>
  <c r="K21" i="8"/>
  <c r="H21" i="8"/>
  <c r="C21" i="8"/>
  <c r="K10" i="8"/>
  <c r="H10" i="8"/>
  <c r="K8" i="8"/>
  <c r="K7" i="8" s="1"/>
  <c r="H8" i="8"/>
  <c r="H7" i="8" s="1"/>
  <c r="C8" i="8"/>
  <c r="C7" i="8" s="1"/>
  <c r="J261" i="9" l="1"/>
  <c r="J263" i="9" s="1"/>
  <c r="C14" i="14"/>
  <c r="C13" i="14" s="1"/>
  <c r="C11" i="14" s="1"/>
  <c r="C18" i="14" s="1"/>
  <c r="J267" i="9"/>
  <c r="K54" i="8"/>
  <c r="H54" i="8"/>
  <c r="K40" i="8"/>
  <c r="H20" i="8"/>
  <c r="H6" i="8" s="1"/>
  <c r="H29" i="8"/>
  <c r="K29" i="8"/>
  <c r="C20" i="8"/>
  <c r="K20" i="8"/>
  <c r="K6" i="8" s="1"/>
  <c r="H40" i="8"/>
  <c r="C10" i="8"/>
  <c r="C29" i="8"/>
  <c r="C28" i="8" s="1"/>
  <c r="K28" i="8" l="1"/>
  <c r="K5" i="8" s="1"/>
  <c r="K70" i="8" s="1"/>
  <c r="N261" i="9" s="1"/>
  <c r="N263" i="9" s="1"/>
  <c r="H28" i="8"/>
  <c r="H5" i="8" s="1"/>
  <c r="H70" i="8" s="1"/>
  <c r="K261" i="9" s="1"/>
  <c r="K263" i="9" s="1"/>
  <c r="E70" i="8"/>
  <c r="H261" i="9" s="1"/>
  <c r="H263" i="9" s="1"/>
  <c r="C6" i="8"/>
  <c r="C5" i="8" s="1"/>
  <c r="C70" i="8" s="1"/>
</calcChain>
</file>

<file path=xl/sharedStrings.xml><?xml version="1.0" encoding="utf-8"?>
<sst xmlns="http://schemas.openxmlformats.org/spreadsheetml/2006/main" count="3572" uniqueCount="440">
  <si>
    <t/>
  </si>
  <si>
    <t>КБК</t>
  </si>
  <si>
    <t>Наименование</t>
  </si>
  <si>
    <t>НАЛОГОВЫЕ И НЕНАЛОГОВЫЕ ДОХОДЫ</t>
  </si>
  <si>
    <t>НАЛОГОВЫЕ</t>
  </si>
  <si>
    <t>000 1 01 00000 00 0000 000</t>
  </si>
  <si>
    <t>НАЛОГИ НА ПРИБЫЛЬ, ДОХОДЫ</t>
  </si>
  <si>
    <t>000 1 01 02000 00 0000 110</t>
  </si>
  <si>
    <t xml:space="preserve">Налог на доходы физических лиц </t>
  </si>
  <si>
    <t>182 1 01 02010 01 0000 110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</si>
  <si>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</si>
  <si>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</si>
  <si>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</si>
  <si>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</si>
  <si>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100 1 03 02231 01 0000 110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</si>
  <si>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</si>
  <si>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100 1 03 02241 01 0000 110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</si>
  <si>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</si>
  <si>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</si>
  <si>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</si>
  <si>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</si>
  <si>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</si>
  <si>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</si>
  <si>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</si>
  <si>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</si>
  <si>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</si>
  <si>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182 1 06 01030 13 0000 110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</si>
  <si>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
</t>
  </si>
  <si>
    <t>000 1 06 06000 00 0000 110</t>
  </si>
  <si>
    <t>Земельный налог</t>
  </si>
  <si>
    <t>182 1 06 06033 13 0000 110</t>
  </si>
  <si>
    <t>Земельный налог с организаций, обладающих земельным участком, расположенным в границах городских поселений</t>
  </si>
  <si>
    <t>182 1 06 06043 13 0000 110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</si>
  <si>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</si>
  <si>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801 1 08 00000 00 0000 110</t>
  </si>
  <si>
    <t>ГОСУДАРСТВЕННАЯ ПОШЛИНА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</si>
  <si>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</si>
  <si>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НЕНАЛОГОВЫЕ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</si>
  <si>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</si>
  <si>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</si>
  <si>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</si>
  <si>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</si>
  <si>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801 1 11 05013 13 0000 120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</si>
  <si>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</si>
  <si>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>801 1 11 05025 13 0000 120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</si>
  <si>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</si>
  <si>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801 1 11 05075 13 0000 120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</si>
  <si>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</si>
  <si>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000 1 11 09000 00 0000 120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</si>
  <si>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</si>
  <si>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801 1 11 09045 13 0000 120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</si>
  <si>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</si>
  <si>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000 1 14 00000 00 0000 000</t>
  </si>
  <si>
    <t>ДОХОДЫ ОТ ПРОДАЖИ МАТЕРИАЛЬНЫХ И НЕМАТЕРИАЛЬНЫХ АКТИВОВ</t>
  </si>
  <si>
    <t>801 1 14 02053 13 0000 410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</si>
  <si>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</si>
  <si>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</si>
  <si>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</si>
  <si>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801 1 14 06013 13 0000 430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</si>
  <si>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</si>
  <si>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000 1 16 00000 00 0000 000</t>
  </si>
  <si>
    <t>ШТРАФЫ, САНКЦИИ, ВОЗМЕЩЕНИЕ УЩЕРБА</t>
  </si>
  <si>
    <t>801 1 16 11064 01 0000 140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</si>
  <si>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тяжеловестных и (или) крупногабаритных грузов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</si>
  <si>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</si>
  <si>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</si>
  <si>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</si>
  <si>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801 2 02 25555 13 0000 150</t>
  </si>
  <si>
    <t>Субсидии бюджетам городских поселений на реализацию программ формирования современной городской среды</t>
  </si>
  <si>
    <t>ВСЕГО ДОХОДОВ</t>
  </si>
  <si>
    <t>000 2 02 30000 00 0000 150</t>
  </si>
  <si>
    <t>Субвенции бюджетам бюджетной системы Российской Федерации</t>
  </si>
  <si>
    <t>801 2 02 30024 13 6336 150</t>
  </si>
  <si>
    <t>Выполнение отдельных государственных полномочий по организации мероприятий по предупреждению и ликвидации болезней животных, их лечению, защите населения от болезней, общих для человека и животных</t>
  </si>
  <si>
    <t>000 2 07 00000 00 0000 000</t>
  </si>
  <si>
    <t>ПРОЧИЕ БЕЗВОЗМЕЗДНЫЕ ПОСТУПЛЕНИЯ</t>
  </si>
  <si>
    <t>801 2 07 05030 13 0000 150</t>
  </si>
  <si>
    <t>Прочие безвозмездные поступления в бюджеты городских поселений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</si>
  <si>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</si>
  <si>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</si>
  <si>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</si>
  <si>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</si>
  <si>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801 2 19 60010 13 0000 150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</si>
  <si>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</si>
  <si>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801 2 02 49999 13 0000 150</t>
  </si>
  <si>
    <t>Прочие межбюджетные трансферты, передаваемые бюджетам городских поселений</t>
  </si>
  <si>
    <t>801 2 02 29999 13 6265 150</t>
  </si>
  <si>
    <t>Программы по поддержке местных инициатив</t>
  </si>
  <si>
    <t xml:space="preserve"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 </t>
  </si>
  <si>
    <t xml:space="preserve">801 1 14 06025 13 0000 430
</t>
  </si>
  <si>
    <t>000 1 17 00000 00 0000 000</t>
  </si>
  <si>
    <t>ПРОЧИЕ НЕНАЛОГОВЫЕ ДОХОДЫ</t>
  </si>
  <si>
    <t>Инициативные платежи, зачисляемые в бюджеты городских поселений</t>
  </si>
  <si>
    <t xml:space="preserve">Прочие неналоговые доходы бюджетов городских поселений </t>
  </si>
  <si>
    <t>801 1 17 05050 13 0000 180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</si>
  <si>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поселения 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</si>
  <si>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</si>
  <si>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801 1 14 13090 13 0000 410</t>
  </si>
  <si>
    <t>000 1 14 13090 13 0000 410</t>
  </si>
  <si>
    <t>801 1 16 10031 13 0000 140</t>
  </si>
  <si>
    <t>801 1 17 15030 13 0000 150</t>
  </si>
  <si>
    <t xml:space="preserve">Прогнозируемый объем поступления доходов в  бюджет муниципального образования "Город Мирный" на 2023 год  и на плановый период 2024 и 2025 годов
</t>
  </si>
  <si>
    <t>801 2 18 05020 13 0000 150</t>
  </si>
  <si>
    <t>Доходы бюджетов городских поселений от возврата автономными учреждениями остатков субсидий прошлых лет</t>
  </si>
  <si>
    <t>Рубли</t>
  </si>
  <si>
    <t>000 2 00 00000 00 0000 000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</si>
  <si>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</si>
  <si>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Сумма уточнений (+, -)</t>
  </si>
  <si>
    <t>801 1 08 07175 01 1000 110</t>
  </si>
  <si>
    <t>2023 год с уточнениями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</si>
  <si>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</si>
  <si>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</si>
  <si>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801 1 13 00000 00 0000 000</t>
  </si>
  <si>
    <t>801 1 13 02000 00 0000 130</t>
  </si>
  <si>
    <t>Прочие доходы от компенсации затрат бюджетов городских поселений</t>
  </si>
  <si>
    <t>801 1 13 02995 13 0000 130</t>
  </si>
  <si>
    <t>801 2 02 45505 13 0000 150</t>
  </si>
  <si>
    <t>Межбюджетные трансферты,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</si>
  <si>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 xml:space="preserve">снять в расходах </t>
  </si>
  <si>
    <t>снять в расходах</t>
  </si>
  <si>
    <t>добавить в расходы</t>
  </si>
  <si>
    <t xml:space="preserve">изменить </t>
  </si>
  <si>
    <t>182 1 03 02251 01 0000 110</t>
  </si>
  <si>
    <t>182 1 03 02261 01 0000 110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</si>
  <si>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</si>
  <si>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</si>
  <si>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</si>
  <si>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</si>
  <si>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>182 1 03 02241 01 0000 110</t>
  </si>
  <si>
    <t>2024 год с уточнениями</t>
  </si>
  <si>
    <t>2025 год с уточнениями</t>
  </si>
  <si>
    <t>801 1 11 05314 13 0000 120</t>
  </si>
  <si>
    <t xml:space="preserve"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
</t>
  </si>
  <si>
    <t>Единая субвенция бюджетам городских поселений из бюджета субъекта Российской Федерации (Субвенция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владельцев)</t>
  </si>
  <si>
    <t>801 2 02 36900 13 6900 150</t>
  </si>
  <si>
    <t xml:space="preserve">Распределение бюджетных ассигнований по разделам, подразделам, целевым статьям и группам видов расходов классификации расходов на 2023 год и на плановый период 2024 и 2025 годов     </t>
  </si>
  <si>
    <t>РЗ</t>
  </si>
  <si>
    <t>ПР</t>
  </si>
  <si>
    <t>ЦСР</t>
  </si>
  <si>
    <t>ВР</t>
  </si>
  <si>
    <t>ВСЕГО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</si>
  <si>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</si>
  <si>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</si>
  <si>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</si>
  <si>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</si>
  <si>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</t>
  </si>
  <si>
    <t>99 0 00 0000 0</t>
  </si>
  <si>
    <t>Руководство и управление в сфере установленных функций органов местного самоуправления</t>
  </si>
  <si>
    <t>99 1 00 0000 0</t>
  </si>
  <si>
    <t>Глава муниципального образования</t>
  </si>
  <si>
    <t>99 1 00 1160 0</t>
  </si>
  <si>
    <t>Расходы на выплаты персоналу</t>
  </si>
  <si>
    <t>100</t>
  </si>
  <si>
    <t>Закупка товаров, работ и услуг для обеспечения государственных (муниципальных) нужд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</si>
  <si>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</si>
  <si>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</si>
  <si>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Расходы на содержание органов местного самоуправления</t>
  </si>
  <si>
    <t>99 1 00 1141 0</t>
  </si>
  <si>
    <t>200</t>
  </si>
  <si>
    <t>Депутаты представительного органа муниципального образования</t>
  </si>
  <si>
    <t>99 1 00 1172 0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</si>
  <si>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</si>
  <si>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</si>
  <si>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Экономическое развитие Республики Саха (Якутия)</t>
  </si>
  <si>
    <t>74 0 00 0000 0</t>
  </si>
  <si>
    <t>Ведомственные проекты</t>
  </si>
  <si>
    <t>74 3 00 0000 0</t>
  </si>
  <si>
    <t>Создание условий для развития и сохранения кадрового потенциала</t>
  </si>
  <si>
    <t>74 3 00 1003 0</t>
  </si>
  <si>
    <t>Бюдж.инвестиции</t>
  </si>
  <si>
    <t>99 1 00 11410</t>
  </si>
  <si>
    <t>400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</si>
  <si>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</si>
  <si>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</si>
  <si>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</si>
  <si>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</si>
  <si>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Председатель контрольно-счетной палаты муниципального образования и его заместители</t>
  </si>
  <si>
    <t>99 1 00 1174 0</t>
  </si>
  <si>
    <t>Резервные фонды</t>
  </si>
  <si>
    <t>11</t>
  </si>
  <si>
    <t>Прочие непрограммные расходы</t>
  </si>
  <si>
    <t>99 5 00 0000 0</t>
  </si>
  <si>
    <t>Резервный фонд местной администрации</t>
  </si>
  <si>
    <t>99 5 00 7110 0</t>
  </si>
  <si>
    <t>Резервный фонд на предупреждение и ликвидацию чрезвычайных ситуаций и стихийных бедствий</t>
  </si>
  <si>
    <t>99 5 00 7120 0</t>
  </si>
  <si>
    <t>Другие общегосударственные вопросы</t>
  </si>
  <si>
    <t>13</t>
  </si>
  <si>
    <t>Управление собственностью Республики Саха (Якутия)</t>
  </si>
  <si>
    <t>73 0 00 0000 0</t>
  </si>
  <si>
    <t>73 3 00 0000 0</t>
  </si>
  <si>
    <t>Формирование муниципальной собственности на объекты капитального строительства</t>
  </si>
  <si>
    <t>73 3 00 1000 1</t>
  </si>
  <si>
    <t>Учет и мониторинг муниципальной собственности</t>
  </si>
  <si>
    <t>73 3 00 1000 2</t>
  </si>
  <si>
    <t>Оценка имущества для принятия управленческих решений</t>
  </si>
  <si>
    <t>73 3 00 1000 3</t>
  </si>
  <si>
    <t>Страхование объектов муниципальной собственности</t>
  </si>
  <si>
    <t>73 3 00 1000 4</t>
  </si>
  <si>
    <t>Содержание муниципального жилищного фонда</t>
  </si>
  <si>
    <t>73 3 00 1000 6</t>
  </si>
  <si>
    <t>Содержание, текущий и капитальный ремонт нежилых помещений</t>
  </si>
  <si>
    <t>73 3 00 1000 7</t>
  </si>
  <si>
    <t>Организация учета использования земель</t>
  </si>
  <si>
    <t>73 3 00 1002 2</t>
  </si>
  <si>
    <t>Расходы на исполнение судебных решений о взыскании из бюджета по искам юридических и физических лиц</t>
  </si>
  <si>
    <t>99 5 00 9101 7</t>
  </si>
  <si>
    <t>Выполнение других обязательств муниципальных образований</t>
  </si>
  <si>
    <t>99 5 00 9101 9</t>
  </si>
  <si>
    <t>Социальное обеспечение и иные выплаты населению</t>
  </si>
  <si>
    <t>300</t>
  </si>
  <si>
    <t>Условно утвержденные расходы</t>
  </si>
  <si>
    <t>99 9 00 0000 0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</si>
  <si>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</si>
  <si>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</si>
  <si>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Обеспечение безопасности жизнедеятельности населения Республики Саха (Якутия) </t>
  </si>
  <si>
    <t>64 0 00 0000 0</t>
  </si>
  <si>
    <t>64 3 00 0000 0</t>
  </si>
  <si>
    <t>Обеспечение мероприятий по пожарной безопасности, защиты населения, территорий от чрезвычайных ситуаций</t>
  </si>
  <si>
    <t>64 3 00 1003 0</t>
  </si>
  <si>
    <t xml:space="preserve">Социальное обеспечение и иные выплаты населению
</t>
  </si>
  <si>
    <t>Другие вопросы в области национальной безопасности и правоохранительной деятельности</t>
  </si>
  <si>
    <t>14</t>
  </si>
  <si>
    <t>Профилактика правонарушений</t>
  </si>
  <si>
    <t>54 0 00 0000 0</t>
  </si>
  <si>
    <t>54 3 00 0000 0</t>
  </si>
  <si>
    <t>Приобретение, установка и обслуживание систем безопасности</t>
  </si>
  <si>
    <t>54 3 00 1000 4</t>
  </si>
  <si>
    <t xml:space="preserve">Содействие развитию добровольных народных дружин в сфере охраны общественного порядка </t>
  </si>
  <si>
    <t>54 3 00 1000 5</t>
  </si>
  <si>
    <t>Организация профилактических мероприятий по пропаганде безопасности дорожного движения</t>
  </si>
  <si>
    <t>54 3 00 1002 0</t>
  </si>
  <si>
    <t>НАЦИОНАЛЬНАЯ ЭКОНОМИКА</t>
  </si>
  <si>
    <t>Сельское хозяйство и рыболовство</t>
  </si>
  <si>
    <t>05</t>
  </si>
  <si>
    <t xml:space="preserve">Развитие сельского хозяйства и регулирование рынков сельскохозяйственной продукции, сырья и продовольствия </t>
  </si>
  <si>
    <t>67 0 00 0000 0</t>
  </si>
  <si>
    <t>67 3 00 0000 0</t>
  </si>
  <si>
    <t>67 3 00 6936 0</t>
  </si>
  <si>
    <t>Транспорт</t>
  </si>
  <si>
    <t>08</t>
  </si>
  <si>
    <t>Расходы в области дорожно-транспортного комплекса</t>
  </si>
  <si>
    <t>99 5 00 9100 8</t>
  </si>
  <si>
    <t>Дорожное хозяйство (дорожные фонды)</t>
  </si>
  <si>
    <t>09</t>
  </si>
  <si>
    <t xml:space="preserve">Развитие транспортного комплекса Республики Саха (Якутия) </t>
  </si>
  <si>
    <t>60 0 00 0000 0</t>
  </si>
  <si>
    <t>60 3 00 0000 0</t>
  </si>
  <si>
    <t>Содержание, текущий и капитальный ремонт автомобильных дорог общего пользования местного значения</t>
  </si>
  <si>
    <t>60 3 00 1003 0</t>
  </si>
  <si>
    <t>Формирование современной городской среды на территории Республики Саха (Якутия)</t>
  </si>
  <si>
    <t>63 0 00 0000 0</t>
  </si>
  <si>
    <t>63 3 00 0000 0</t>
  </si>
  <si>
    <t>Текущее содержание и ремонт дорог общего пользования и инженерных сооружений на них</t>
  </si>
  <si>
    <t>63 3 00 1000 7</t>
  </si>
  <si>
    <t>Другие вопросы в области национальной экономики</t>
  </si>
  <si>
    <t>12</t>
  </si>
  <si>
    <t xml:space="preserve">Обеспечение качественным жильем Республики Саха (Якутия) </t>
  </si>
  <si>
    <t>61 0 00 0000 0</t>
  </si>
  <si>
    <t>61 3 00 0000 0</t>
  </si>
  <si>
    <t>Подготовка документов территориального планирования муниципальных образований</t>
  </si>
  <si>
    <t>61 3 00 1000 0</t>
  </si>
  <si>
    <t xml:space="preserve">Развитие предпринимательства и туризма в Республике Саха (Якутия) </t>
  </si>
  <si>
    <t>68 0 00 0000 0</t>
  </si>
  <si>
    <t>68 3 00 0000 0</t>
  </si>
  <si>
    <t>Поддержка субъектов малого и среднего предпринимательства</t>
  </si>
  <si>
    <t>68 3 00 1000 0</t>
  </si>
  <si>
    <t>Предоставление грантов начинающим субъектам малого предпринимательства</t>
  </si>
  <si>
    <t>68 3 00 1000 Г</t>
  </si>
  <si>
    <t>ЖИЛИЩНО-КОММУНАЛЬНОЕ ХОЗЯЙСТВО</t>
  </si>
  <si>
    <t>Жилищное хозяйство</t>
  </si>
  <si>
    <t>Предоставление жилых помещений по договорам социального найма муниципального жилищного фонда</t>
  </si>
  <si>
    <t>61 3 00 1001 2</t>
  </si>
  <si>
    <t>Переселение граждан из аварийного жилищного фонда</t>
  </si>
  <si>
    <t>61 3 00 1001 3</t>
  </si>
  <si>
    <t>Текущий и капитальный ремонт муниципального жилищного фонда</t>
  </si>
  <si>
    <t>61 3 00 1002 0</t>
  </si>
  <si>
    <t>Коммунальное хозяйство</t>
  </si>
  <si>
    <t>Развитие систем коммунальной инфраструктуры муниципальных образований</t>
  </si>
  <si>
    <t>61 3 00 1003 0</t>
  </si>
  <si>
    <t>Выполнение работ по технологическому присоединению к электрическим сетям электроснабжения застройки индивидуальных жилых домов</t>
  </si>
  <si>
    <t xml:space="preserve">61 3 00 1007 0 </t>
  </si>
  <si>
    <t>61 3 00 1007 0</t>
  </si>
  <si>
    <t>Развитие и освоение территорий в целях стимулирования строительства индивидуальных жилых домов</t>
  </si>
  <si>
    <t>61 3 00 1008 0</t>
  </si>
  <si>
    <t>Софинансирование реализации мероприятий в области жилищного строительства (за счет средств МБ)</t>
  </si>
  <si>
    <t>61 3 00 S470 1</t>
  </si>
  <si>
    <t>Благоустройство</t>
  </si>
  <si>
    <t>Региональный проект "Формирование комфортной городской среды"</t>
  </si>
  <si>
    <t>63 1 F2 5555 0</t>
  </si>
  <si>
    <t>Реализация программ формирования современной городской среды</t>
  </si>
  <si>
    <t>Содержание и ремонт объектов уличного освещения</t>
  </si>
  <si>
    <t>63 3 00 1000 1</t>
  </si>
  <si>
    <t>Очистка и посадка зеленой зоны</t>
  </si>
  <si>
    <t>63 3 00 1000 2</t>
  </si>
  <si>
    <t>Организация ритуальных услуг и содержание мест захоронения</t>
  </si>
  <si>
    <t>63 3 00 1000 3</t>
  </si>
  <si>
    <t>Предост.субсидий фед.БУ, АУ и иным некомм.орг-циям</t>
  </si>
  <si>
    <t>600</t>
  </si>
  <si>
    <t>Содержание скверов и площадей</t>
  </si>
  <si>
    <t>63  3 00 1000 4</t>
  </si>
  <si>
    <t>Прочие мероприятия по благоустройству</t>
  </si>
  <si>
    <t>63 3 00 1000 9</t>
  </si>
  <si>
    <t>Реализация программ формирования современной городской среды (за счет МБ)</t>
  </si>
  <si>
    <t>63 3 00 1003 0</t>
  </si>
  <si>
    <t>Предоставление субсидий бюджетным, автономным учреждениям и иным некоммерческим организациям</t>
  </si>
  <si>
    <t>Реализация на территории Республики Саха (Якутия) проектов развития общественной инфраструктуры, основанных на местных инициативах (за счет средств ГБ).</t>
  </si>
  <si>
    <t>63 3 00 6265 0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</si>
  <si>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(Реализация проекта "1000 дворов" в субъектах РФ, входящих в состав Дальневосточного федерального округа)</t>
  </si>
  <si>
    <t>63 3 00 R505 A</t>
  </si>
  <si>
    <t>Реализация на территории Республики Саха (Якутия) проектов развития общественной инфраструктуры, основанных на местных инициативах (за счет средств МБ).</t>
  </si>
  <si>
    <t>63 3 00 S265 1</t>
  </si>
  <si>
    <t>Другие вопросы в области жилищно-коммунального хозяйства</t>
  </si>
  <si>
    <t>Комплексы процессных мероприятий</t>
  </si>
  <si>
    <t>60 4 00 0000 0</t>
  </si>
  <si>
    <t>Расходы на обеспечение деятельности (оказание услуг) муниципальных учреждений</t>
  </si>
  <si>
    <t>60 4 00 2200 1</t>
  </si>
  <si>
    <t>ОБРАЗОВАНИЕ</t>
  </si>
  <si>
    <t>07</t>
  </si>
  <si>
    <t>Молодежная политика и оздоровление детей</t>
  </si>
  <si>
    <t xml:space="preserve">Реализация молодежной политики, патриотического воспитания граждан и развитие гражданского общества </t>
  </si>
  <si>
    <t>52 0 00 0000 0</t>
  </si>
  <si>
    <t>52 4 00 0000 0</t>
  </si>
  <si>
    <t>52 4 00 2200 1</t>
  </si>
  <si>
    <t>КУЛЬТУРА, КИНЕМАТОГРАФИЯ</t>
  </si>
  <si>
    <t>Другие вопросы в области культуры, кинематографии</t>
  </si>
  <si>
    <t>Развитие культуры</t>
  </si>
  <si>
    <t>50 0 00 0000 0</t>
  </si>
  <si>
    <t>50 4 00 0000 0</t>
  </si>
  <si>
    <t>50 4 00 2200 0</t>
  </si>
  <si>
    <t>СОЦИАЛЬНАЯ ПОЛИТИКА</t>
  </si>
  <si>
    <t>10</t>
  </si>
  <si>
    <t>Пенсионное обеспечение</t>
  </si>
  <si>
    <t>Социальная поддержка граждан в Республике Саха (Якутия)</t>
  </si>
  <si>
    <t>55 0 00 0000 0</t>
  </si>
  <si>
    <t>55 4 00 0000 0</t>
  </si>
  <si>
    <t>Ежемесячные доплаты к трудовой пенсии лицам, замещавшим муниципальные должности и должности муниципальной службы</t>
  </si>
  <si>
    <t>55 4 00 7101 0</t>
  </si>
  <si>
    <t>Социальное обеспечение населения</t>
  </si>
  <si>
    <t>Обеспечение жильем работников муниципальной бюджетной сферы</t>
  </si>
  <si>
    <t>61 3 00 1001 1</t>
  </si>
  <si>
    <t>Реализация мероприятий по обеспечению жильем молодых семей</t>
  </si>
  <si>
    <t>61 3 00 L497 0</t>
  </si>
  <si>
    <t>Межбюджетные трансферты</t>
  </si>
  <si>
    <t>500</t>
  </si>
  <si>
    <t>Другие вопросы в области социальной политики</t>
  </si>
  <si>
    <t xml:space="preserve">55 0 00 0000 0 </t>
  </si>
  <si>
    <t>55 3 00 0000 0</t>
  </si>
  <si>
    <t>Поддержка социально ориентированных некоммерческих организаций</t>
  </si>
  <si>
    <t>55 3 00 1001 0</t>
  </si>
  <si>
    <t>Меры социальной поддержки для семьи и детей из малообеспеченных и многодетных семей</t>
  </si>
  <si>
    <t>55 3 00 1004 0</t>
  </si>
  <si>
    <t>Поддержка ветеранов войны, тыла и труда</t>
  </si>
  <si>
    <t>55 3 00 1005 0</t>
  </si>
  <si>
    <t>Иные социальные выплаты отдельным категориям граждан по муниципальным правовым актам муниципальных образований</t>
  </si>
  <si>
    <t>55 4 00 7102 0</t>
  </si>
  <si>
    <t>ФИЗИЧЕСКАЯ КУЛЬТУРА И СПОРТ</t>
  </si>
  <si>
    <t>Другие вопросы в области физической культуры и спорта</t>
  </si>
  <si>
    <t xml:space="preserve">Развитие физической культуры и спорта </t>
  </si>
  <si>
    <t>57 0 00 0000 0</t>
  </si>
  <si>
    <t>57 4 00 0000 0</t>
  </si>
  <si>
    <t>57 4 00 2200 1</t>
  </si>
  <si>
    <t>СРЕДСТВА МАССОВОЙ ИНФОРМАЦИИ</t>
  </si>
  <si>
    <t>Другие вопросы в области средств массовой информации</t>
  </si>
  <si>
    <t xml:space="preserve">Развитие информационного общества </t>
  </si>
  <si>
    <t>75 0 00 0000 0</t>
  </si>
  <si>
    <t>75 3 00 0000 0</t>
  </si>
  <si>
    <t>Освещение деятельности ОМСУ в средствах массовой информации</t>
  </si>
  <si>
    <t>75 3 00 1004 0</t>
  </si>
  <si>
    <t>МБТ ОБЩЕГО ХАРАКТЕРА БЮДЖЕТАМ бюджетной системы РФ</t>
  </si>
  <si>
    <t>Прочие межбюджетные трансферты общего характера</t>
  </si>
  <si>
    <t>99 6 00 0000 0</t>
  </si>
  <si>
    <t>Осуществление расходных обязательств ОМСУ в части полномочий по решению вопросов местного значения, переданных  в соответствии с заключенным между органом местного самоуправления муниципального района и поселения соглашением</t>
  </si>
  <si>
    <t>99 6 00 8851 0</t>
  </si>
  <si>
    <t xml:space="preserve">Распределение бюджетных ассигнований по целевым статьям и группам видов расходов на реализацию непрограммных расходов на 2023 год и на плановый период 2024 и 2025 годов        </t>
  </si>
  <si>
    <t>2023 год</t>
  </si>
  <si>
    <t>Проведение выборов и референдумов</t>
  </si>
  <si>
    <t>99 3 00 0000 0</t>
  </si>
  <si>
    <t>Проведение выборов и референдумов депутатов</t>
  </si>
  <si>
    <t>99 3 00 10010</t>
  </si>
  <si>
    <t>99 3 00 1001 0</t>
  </si>
  <si>
    <t>Проведение выборов и референдумов глав</t>
  </si>
  <si>
    <t>99 3 00 1002 0</t>
  </si>
  <si>
    <t>Расходы по обеспечению противопожарной и антитеррористической безопасности</t>
  </si>
  <si>
    <t>99 5 00 91004</t>
  </si>
  <si>
    <t>99 5 00 91019</t>
  </si>
  <si>
    <t>Распределение бюджетных ассигнований по целевым статьям и группам видов расходов на реализацию муниципальных  программ на 2023 год и на плановый период 2024 и 2025 годов</t>
  </si>
  <si>
    <t>Закупка товаров, работ и услуг для гос.нужд</t>
  </si>
  <si>
    <t xml:space="preserve">60 4 00 2200 </t>
  </si>
  <si>
    <t>Развитие сельского хозяйства и регулирование рынков сельскохозяйственной продукции, сырья и продовольствия</t>
  </si>
  <si>
    <t>Непрограммные</t>
  </si>
  <si>
    <t>Всего</t>
  </si>
  <si>
    <t>По разделам</t>
  </si>
  <si>
    <t xml:space="preserve">Ведомственная структура расходов бюджета на 2023 год и на плановый период 2024 и 2025 годов </t>
  </si>
  <si>
    <t>ВЕД</t>
  </si>
  <si>
    <t>АДМИНИСТРАЦИЯ МО "ГОРОД МИРНЫЙ" МИРНИНСКОГО РАЙОНА РЕСПУБЛИКИ САХА (ЯКУТИЯ)</t>
  </si>
  <si>
    <t>Муниципальное учреждение "Мирнинский городской Совет"</t>
  </si>
  <si>
    <t>801</t>
  </si>
  <si>
    <t>Администрация муниципального образования "Город Мирный" Мирнинского района Республики Саха (Якутия)</t>
  </si>
  <si>
    <t xml:space="preserve">99 1 00 1141 0 </t>
  </si>
  <si>
    <t>31 2 00 10060</t>
  </si>
  <si>
    <t>99 0 00 00000</t>
  </si>
  <si>
    <t>99 5 00 00000</t>
  </si>
  <si>
    <t>Муниципальное учреждение "Контрольно-счётная палата"</t>
  </si>
  <si>
    <t>Муниципальное учреждение "Управление Жилищно-Коммунального Хозяйства"</t>
  </si>
  <si>
    <t>Содержание и капитальный ремонт дворовых территорий многоквартирных домов, проездов к дворовым территориям многоквартиных домов</t>
  </si>
  <si>
    <t>23 2 00 10080</t>
  </si>
  <si>
    <t>60 4 00 22001</t>
  </si>
  <si>
    <t>Приложение № 6</t>
  </si>
  <si>
    <t>Объем межбюджетных трансфертов, получаемых из других бюджетов бюджетной системы Российской Федерации в бюджет МО "Город Мирный" на 2023 год и на плановый период 2024 и 2025 годов</t>
  </si>
  <si>
    <t>№</t>
  </si>
  <si>
    <t>1.</t>
  </si>
  <si>
    <t>2.</t>
  </si>
  <si>
    <t>3.</t>
  </si>
  <si>
    <t>4.</t>
  </si>
  <si>
    <t>5.</t>
  </si>
  <si>
    <t>Всего:</t>
  </si>
  <si>
    <t>Приложение № 7</t>
  </si>
  <si>
    <t>Источники финансирования дефицита бюджета МО "Город Мирный" на 2023 год и на плановый период 2024 и 2025 годов</t>
  </si>
  <si>
    <t>Код классификации источников финансирования дефицита бюджета</t>
  </si>
  <si>
    <t>Наименование источника</t>
  </si>
  <si>
    <t>Источники внутреннего финансирования дефицита бюджета, всего:</t>
  </si>
  <si>
    <t>в том числе:</t>
  </si>
  <si>
    <t>Изменение остатков средств на счетах</t>
  </si>
  <si>
    <t>801 01 05 02 01 13 0000 510</t>
  </si>
  <si>
    <t>Увеличение прочих остатков денежных средств бюджетов городских поселений</t>
  </si>
  <si>
    <t>801 01 05 02 01 13 0000 610</t>
  </si>
  <si>
    <t>Уменьшение прочих остатков денежных средств бюджетов городских поселений</t>
  </si>
  <si>
    <t>Доходы</t>
  </si>
  <si>
    <t>Остаток на 01.01.2023</t>
  </si>
  <si>
    <t>Остаток+доходы-расходы</t>
  </si>
  <si>
    <t>Дефицит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</si>
  <si>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</si>
  <si>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Приложение № 2
к решению городского Совета
от 22.06.2023 № V - 9-1 </t>
  </si>
  <si>
    <t>Приложение №1
к решению городского Совета
от 22.06.2023 № V - 9-1</t>
  </si>
  <si>
    <t xml:space="preserve">Приложение № 3
к решению городского Совета
от 22.06.2023 № V - 9-1 </t>
  </si>
  <si>
    <t xml:space="preserve">Приложение 4
к решению городского Совета
от 22.06.2023 № V - 9-1 </t>
  </si>
  <si>
    <t>Приложение 5
к решению городского Совета
от 22.06.2023 № V - 9-1</t>
  </si>
  <si>
    <t>к решению городского Совета</t>
  </si>
  <si>
    <t>от 22.06.2023 № V - 9-1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</si>
</sst>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_р_._-;\-* #,##0.00_р_._-;_-* &quot;-&quot;??_р_._-;_-@_-"/>
    <numFmt numFmtId="165" formatCode="_(* #,##0.00_);_(* \(#,##0.00\);_(* &quot;-&quot;??_);_(@_)"/>
    <numFmt numFmtId="166" formatCode="#,##0.00\ _₽"/>
    <numFmt numFmtId="167" formatCode="_-* #,##0.00\ _₽_-;\-* #,##0.00\ _₽_-;_-* &quot;-&quot;??\ _₽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9" fontId="3" fillId="0" borderId="2">
      <alignment horizontal="center"/>
    </xf>
    <xf numFmtId="0" fontId="3" fillId="0" borderId="3">
      <alignment horizontal="left" wrapText="1" indent="2"/>
    </xf>
    <xf numFmtId="0" fontId="4" fillId="0" borderId="0"/>
    <xf numFmtId="0" fontId="11" fillId="0" borderId="0">
      <alignment vertical="top" wrapText="1"/>
    </xf>
    <xf numFmtId="49" fontId="3" fillId="0" borderId="7">
      <alignment horizontal="center" shrinkToFit="1"/>
    </xf>
    <xf numFmtId="4" fontId="3" fillId="0" borderId="8">
      <alignment horizontal="right" shrinkToFit="1"/>
    </xf>
    <xf numFmtId="165" fontId="4" fillId="0" borderId="0" applyFont="0" applyFill="0" applyBorder="0" applyAlignment="0" applyProtection="0"/>
    <xf numFmtId="4" fontId="3" fillId="0" borderId="2">
      <alignment horizontal="right" shrinkToFit="1"/>
    </xf>
    <xf numFmtId="43" fontId="15" fillId="0" borderId="0" applyFont="0" applyFill="0" applyBorder="0" applyAlignment="0" applyProtection="0"/>
    <xf numFmtId="0" fontId="15" fillId="0" borderId="0"/>
    <xf numFmtId="4" fontId="18" fillId="0" borderId="9">
      <alignment horizontal="right" vertical="top" shrinkToFit="1"/>
    </xf>
    <xf numFmtId="0" fontId="4" fillId="0" borderId="0"/>
    <xf numFmtId="0" fontId="4" fillId="0" borderId="0"/>
    <xf numFmtId="0" fontId="18" fillId="5" borderId="19"/>
  </cellStyleXfs>
  <cellXfs count="236">
    <xf numFmtId="0" fontId="0" fillId="0" borderId="0" xfId="0"/>
    <xf numFmtId="4" fontId="5" fillId="2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4" fontId="5" fillId="0" borderId="0" xfId="0" applyNumberFormat="1" applyFont="1"/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12" fillId="2" borderId="0" xfId="0" applyNumberFormat="1" applyFont="1" applyFill="1" applyAlignment="1">
      <alignment horizontal="right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0" fontId="14" fillId="2" borderId="9" xfId="0" applyFont="1" applyFill="1" applyBorder="1" applyAlignment="1">
      <alignment horizontal="center" vertical="center" wrapText="1"/>
    </xf>
    <xf numFmtId="166" fontId="5" fillId="0" borderId="0" xfId="0" applyNumberFormat="1" applyFont="1"/>
    <xf numFmtId="166" fontId="5" fillId="3" borderId="0" xfId="0" applyNumberFormat="1" applyFont="1" applyFill="1"/>
    <xf numFmtId="4" fontId="14" fillId="0" borderId="0" xfId="0" applyNumberFormat="1" applyFont="1" applyAlignment="1">
      <alignment vertical="top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9" xfId="10" applyFont="1" applyFill="1" applyBorder="1" applyAlignment="1">
      <alignment horizontal="center" vertical="center" wrapText="1"/>
    </xf>
    <xf numFmtId="0" fontId="14" fillId="2" borderId="6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4" fontId="14" fillId="0" borderId="9" xfId="0" applyNumberFormat="1" applyFont="1" applyBorder="1" applyAlignment="1">
      <alignment horizontal="right" vertical="top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4" fontId="17" fillId="0" borderId="9" xfId="0" applyNumberFormat="1" applyFont="1" applyBorder="1" applyAlignment="1">
      <alignment horizontal="right" vertical="top" wrapText="1"/>
    </xf>
    <xf numFmtId="4" fontId="11" fillId="2" borderId="11" xfId="11" applyFont="1" applyFill="1" applyBorder="1">
      <alignment horizontal="right" vertical="top" shrinkToFit="1"/>
    </xf>
    <xf numFmtId="43" fontId="19" fillId="2" borderId="11" xfId="9" applyFont="1" applyFill="1" applyBorder="1" applyAlignment="1">
      <alignment vertical="top"/>
    </xf>
    <xf numFmtId="4" fontId="11" fillId="2" borderId="1" xfId="11" applyFont="1" applyFill="1" applyBorder="1">
      <alignment horizontal="right" vertical="top" shrinkToFit="1"/>
    </xf>
    <xf numFmtId="43" fontId="19" fillId="2" borderId="1" xfId="9" applyFont="1" applyFill="1" applyBorder="1" applyAlignment="1">
      <alignment vertical="top"/>
    </xf>
    <xf numFmtId="4" fontId="14" fillId="2" borderId="9" xfId="0" applyNumberFormat="1" applyFont="1" applyFill="1" applyBorder="1" applyAlignment="1">
      <alignment horizontal="right" vertical="top" wrapText="1"/>
    </xf>
    <xf numFmtId="4" fontId="17" fillId="2" borderId="9" xfId="0" applyNumberFormat="1" applyFont="1" applyFill="1" applyBorder="1" applyAlignment="1">
      <alignment horizontal="right" vertical="top" wrapText="1"/>
    </xf>
    <xf numFmtId="4" fontId="10" fillId="2" borderId="9" xfId="0" applyNumberFormat="1" applyFont="1" applyFill="1" applyBorder="1" applyAlignment="1">
      <alignment horizontal="right" vertical="top" wrapText="1"/>
    </xf>
    <xf numFmtId="43" fontId="10" fillId="2" borderId="1" xfId="9" applyFont="1" applyFill="1" applyBorder="1" applyAlignment="1">
      <alignment vertical="top"/>
    </xf>
    <xf numFmtId="0" fontId="20" fillId="2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right" vertical="top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0" fillId="0" borderId="9" xfId="0" applyFont="1" applyBorder="1" applyAlignment="1">
      <alignment vertical="top" wrapText="1"/>
    </xf>
    <xf numFmtId="0" fontId="20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4" fontId="17" fillId="2" borderId="10" xfId="0" applyNumberFormat="1" applyFont="1" applyFill="1" applyBorder="1" applyAlignment="1">
      <alignment horizontal="right" vertical="top" wrapText="1"/>
    </xf>
    <xf numFmtId="4" fontId="11" fillId="2" borderId="6" xfId="0" applyNumberFormat="1" applyFont="1" applyFill="1" applyBorder="1" applyAlignment="1">
      <alignment horizontal="right" vertical="top" wrapText="1"/>
    </xf>
    <xf numFmtId="4" fontId="11" fillId="2" borderId="1" xfId="0" applyNumberFormat="1" applyFont="1" applyFill="1" applyBorder="1" applyAlignment="1">
      <alignment horizontal="right" vertical="top" wrapText="1"/>
    </xf>
    <xf numFmtId="4" fontId="11" fillId="2" borderId="12" xfId="0" applyNumberFormat="1" applyFont="1" applyFill="1" applyBorder="1" applyAlignment="1">
      <alignment horizontal="right" vertical="top" wrapText="1"/>
    </xf>
    <xf numFmtId="0" fontId="11" fillId="0" borderId="9" xfId="0" applyFont="1" applyBorder="1" applyAlignment="1">
      <alignment vertical="top" wrapText="1"/>
    </xf>
    <xf numFmtId="4" fontId="11" fillId="2" borderId="0" xfId="11" applyFont="1" applyFill="1" applyBorder="1">
      <alignment horizontal="right" vertical="top" shrinkToFit="1"/>
    </xf>
    <xf numFmtId="4" fontId="11" fillId="2" borderId="14" xfId="11" applyFont="1" applyFill="1" applyBorder="1">
      <alignment horizontal="right" vertical="top" shrinkToFit="1"/>
    </xf>
    <xf numFmtId="0" fontId="17" fillId="0" borderId="6" xfId="0" applyFont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right" vertical="top" wrapText="1"/>
    </xf>
    <xf numFmtId="0" fontId="17" fillId="2" borderId="6" xfId="0" applyFont="1" applyFill="1" applyBorder="1" applyAlignment="1">
      <alignment horizontal="center" vertical="top" wrapText="1"/>
    </xf>
    <xf numFmtId="4" fontId="17" fillId="2" borderId="2" xfId="0" applyNumberFormat="1" applyFont="1" applyFill="1" applyBorder="1" applyAlignment="1">
      <alignment horizontal="right" vertical="top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2" borderId="9" xfId="0" applyNumberFormat="1" applyFont="1" applyFill="1" applyBorder="1" applyAlignment="1">
      <alignment horizontal="right" vertical="center" wrapText="1"/>
    </xf>
    <xf numFmtId="4" fontId="17" fillId="2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top" wrapText="1"/>
    </xf>
    <xf numFmtId="4" fontId="17" fillId="2" borderId="1" xfId="11" applyFont="1" applyFill="1" applyBorder="1">
      <alignment horizontal="right" vertical="top" shrinkToFit="1"/>
    </xf>
    <xf numFmtId="4" fontId="17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2" borderId="1" xfId="12" applyFont="1" applyFill="1" applyBorder="1" applyAlignment="1">
      <alignment wrapText="1"/>
    </xf>
    <xf numFmtId="49" fontId="20" fillId="2" borderId="1" xfId="13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49" fontId="10" fillId="2" borderId="1" xfId="13" applyNumberFormat="1" applyFont="1" applyFill="1" applyBorder="1" applyAlignment="1">
      <alignment horizontal="center"/>
    </xf>
    <xf numFmtId="4" fontId="17" fillId="0" borderId="10" xfId="0" applyNumberFormat="1" applyFont="1" applyBorder="1" applyAlignment="1">
      <alignment horizontal="right" vertical="top" wrapText="1"/>
    </xf>
    <xf numFmtId="4" fontId="14" fillId="2" borderId="2" xfId="0" applyNumberFormat="1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4" fontId="24" fillId="0" borderId="0" xfId="0" applyNumberFormat="1" applyFont="1" applyAlignment="1">
      <alignment horizontal="right" wrapText="1"/>
    </xf>
    <xf numFmtId="43" fontId="19" fillId="2" borderId="1" xfId="9" applyFont="1" applyFill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right" vertical="top" wrapText="1"/>
    </xf>
    <xf numFmtId="4" fontId="5" fillId="0" borderId="10" xfId="0" applyNumberFormat="1" applyFont="1" applyBorder="1" applyAlignment="1">
      <alignment horizontal="right" vertical="top" wrapText="1"/>
    </xf>
    <xf numFmtId="166" fontId="5" fillId="2" borderId="0" xfId="0" applyNumberFormat="1" applyFont="1" applyFill="1" applyAlignment="1">
      <alignment vertical="top" wrapText="1"/>
    </xf>
    <xf numFmtId="166" fontId="5" fillId="2" borderId="1" xfId="0" applyNumberFormat="1" applyFont="1" applyFill="1" applyBorder="1" applyAlignment="1">
      <alignment vertical="top" wrapText="1"/>
    </xf>
    <xf numFmtId="4" fontId="5" fillId="2" borderId="9" xfId="0" applyNumberFormat="1" applyFont="1" applyFill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5" fillId="2" borderId="9" xfId="0" applyFont="1" applyFill="1" applyBorder="1" applyAlignment="1">
      <alignment vertical="top" wrapText="1"/>
    </xf>
    <xf numFmtId="4" fontId="5" fillId="2" borderId="6" xfId="0" applyNumberFormat="1" applyFont="1" applyFill="1" applyBorder="1" applyAlignment="1">
      <alignment horizontal="righ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4" fontId="5" fillId="2" borderId="10" xfId="0" applyNumberFormat="1" applyFont="1" applyFill="1" applyBorder="1" applyAlignment="1">
      <alignment horizontal="right" vertical="top" wrapText="1"/>
    </xf>
    <xf numFmtId="4" fontId="10" fillId="2" borderId="13" xfId="0" applyNumberFormat="1" applyFont="1" applyFill="1" applyBorder="1" applyAlignment="1">
      <alignment horizontal="right" vertical="top" wrapText="1"/>
    </xf>
    <xf numFmtId="4" fontId="5" fillId="2" borderId="15" xfId="0" applyNumberFormat="1" applyFont="1" applyFill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4" fontId="5" fillId="2" borderId="16" xfId="0" applyNumberFormat="1" applyFont="1" applyFill="1" applyBorder="1" applyAlignment="1">
      <alignment horizontal="righ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4" fontId="5" fillId="2" borderId="17" xfId="0" applyNumberFormat="1" applyFont="1" applyFill="1" applyBorder="1" applyAlignment="1">
      <alignment horizontal="right" vertical="top" wrapText="1"/>
    </xf>
    <xf numFmtId="167" fontId="5" fillId="2" borderId="1" xfId="0" applyNumberFormat="1" applyFont="1" applyFill="1" applyBorder="1" applyAlignment="1">
      <alignment horizontal="right" vertical="top" wrapText="1"/>
    </xf>
    <xf numFmtId="4" fontId="5" fillId="2" borderId="13" xfId="0" applyNumberFormat="1" applyFont="1" applyFill="1" applyBorder="1" applyAlignment="1">
      <alignment horizontal="right" vertical="top" wrapText="1"/>
    </xf>
    <xf numFmtId="4" fontId="5" fillId="2" borderId="0" xfId="0" applyNumberFormat="1" applyFont="1" applyFill="1" applyAlignment="1">
      <alignment horizontal="right" vertical="top" wrapText="1"/>
    </xf>
    <xf numFmtId="4" fontId="8" fillId="0" borderId="0" xfId="0" applyNumberFormat="1" applyFont="1" applyAlignment="1">
      <alignment vertical="top" wrapText="1"/>
    </xf>
    <xf numFmtId="4" fontId="2" fillId="2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top" wrapText="1"/>
    </xf>
    <xf numFmtId="4" fontId="14" fillId="4" borderId="9" xfId="0" applyNumberFormat="1" applyFont="1" applyFill="1" applyBorder="1" applyAlignment="1">
      <alignment horizontal="right" vertical="top" wrapText="1"/>
    </xf>
    <xf numFmtId="1" fontId="14" fillId="2" borderId="1" xfId="14" applyNumberFormat="1" applyFont="1" applyFill="1" applyBorder="1" applyAlignment="1">
      <alignment horizontal="center" vertical="top" shrinkToFit="1"/>
    </xf>
    <xf numFmtId="1" fontId="11" fillId="2" borderId="1" xfId="14" applyNumberFormat="1" applyFont="1" applyFill="1" applyBorder="1" applyAlignment="1">
      <alignment horizontal="center" vertical="top" shrinkToFit="1"/>
    </xf>
    <xf numFmtId="0" fontId="21" fillId="2" borderId="9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12"/>
    <xf numFmtId="0" fontId="10" fillId="0" borderId="0" xfId="12" applyFont="1"/>
    <xf numFmtId="0" fontId="10" fillId="2" borderId="0" xfId="12" applyFont="1" applyFill="1" applyAlignment="1">
      <alignment horizontal="right"/>
    </xf>
    <xf numFmtId="0" fontId="10" fillId="0" borderId="0" xfId="12" applyFont="1" applyAlignment="1">
      <alignment horizontal="right"/>
    </xf>
    <xf numFmtId="3" fontId="10" fillId="0" borderId="0" xfId="12" applyNumberFormat="1" applyFont="1" applyAlignment="1">
      <alignment horizontal="right"/>
    </xf>
    <xf numFmtId="0" fontId="4" fillId="0" borderId="0" xfId="12" applyAlignment="1">
      <alignment horizontal="right"/>
    </xf>
    <xf numFmtId="0" fontId="25" fillId="0" borderId="1" xfId="12" applyFont="1" applyBorder="1" applyAlignment="1">
      <alignment horizontal="center" vertical="center" wrapText="1"/>
    </xf>
    <xf numFmtId="0" fontId="26" fillId="0" borderId="1" xfId="12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left" vertical="center" wrapText="1"/>
    </xf>
    <xf numFmtId="4" fontId="26" fillId="0" borderId="1" xfId="12" applyNumberFormat="1" applyFont="1" applyBorder="1" applyAlignment="1">
      <alignment horizontal="right" vertical="center" wrapText="1"/>
    </xf>
    <xf numFmtId="4" fontId="26" fillId="0" borderId="1" xfId="12" applyNumberFormat="1" applyFont="1" applyBorder="1" applyAlignment="1">
      <alignment vertical="center"/>
    </xf>
    <xf numFmtId="4" fontId="26" fillId="2" borderId="1" xfId="12" applyNumberFormat="1" applyFont="1" applyFill="1" applyBorder="1" applyAlignment="1">
      <alignment horizontal="right" vertical="center" wrapText="1"/>
    </xf>
    <xf numFmtId="4" fontId="27" fillId="2" borderId="1" xfId="0" applyNumberFormat="1" applyFont="1" applyFill="1" applyBorder="1" applyAlignment="1">
      <alignment horizontal="right" vertical="center" wrapText="1"/>
    </xf>
    <xf numFmtId="0" fontId="10" fillId="0" borderId="1" xfId="12" applyFont="1" applyBorder="1" applyAlignment="1">
      <alignment vertical="center" wrapText="1"/>
    </xf>
    <xf numFmtId="0" fontId="25" fillId="0" borderId="1" xfId="12" applyFont="1" applyBorder="1" applyAlignment="1">
      <alignment vertical="center" wrapText="1"/>
    </xf>
    <xf numFmtId="4" fontId="25" fillId="0" borderId="1" xfId="12" applyNumberFormat="1" applyFont="1" applyBorder="1" applyAlignment="1">
      <alignment vertical="center" wrapText="1"/>
    </xf>
    <xf numFmtId="4" fontId="25" fillId="0" borderId="0" xfId="12" applyNumberFormat="1" applyFont="1" applyAlignment="1">
      <alignment vertical="center" wrapText="1"/>
    </xf>
    <xf numFmtId="0" fontId="26" fillId="0" borderId="0" xfId="3" applyFont="1" applyAlignment="1">
      <alignment horizontal="left" vertical="center" wrapText="1"/>
    </xf>
    <xf numFmtId="0" fontId="26" fillId="0" borderId="0" xfId="12" applyFont="1" applyAlignment="1">
      <alignment horizontal="right" vertical="center"/>
    </xf>
    <xf numFmtId="0" fontId="26" fillId="0" borderId="0" xfId="12" applyFont="1"/>
    <xf numFmtId="0" fontId="25" fillId="0" borderId="0" xfId="12" applyFont="1" applyAlignment="1">
      <alignment horizontal="center" vertical="center"/>
    </xf>
    <xf numFmtId="0" fontId="6" fillId="0" borderId="0" xfId="12" applyFont="1" applyAlignment="1">
      <alignment horizontal="right"/>
    </xf>
    <xf numFmtId="0" fontId="25" fillId="0" borderId="1" xfId="12" applyFont="1" applyBorder="1" applyAlignment="1">
      <alignment horizontal="center" vertical="center"/>
    </xf>
    <xf numFmtId="0" fontId="25" fillId="2" borderId="1" xfId="12" applyFont="1" applyFill="1" applyBorder="1" applyAlignment="1">
      <alignment horizontal="center" vertical="center" wrapText="1"/>
    </xf>
    <xf numFmtId="0" fontId="25" fillId="0" borderId="21" xfId="12" applyFont="1" applyBorder="1" applyAlignment="1">
      <alignment horizontal="center" vertical="center"/>
    </xf>
    <xf numFmtId="0" fontId="25" fillId="0" borderId="20" xfId="12" applyFont="1" applyBorder="1" applyAlignment="1">
      <alignment horizontal="center" vertical="center" wrapText="1"/>
    </xf>
    <xf numFmtId="0" fontId="25" fillId="0" borderId="21" xfId="12" applyFont="1" applyBorder="1" applyAlignment="1">
      <alignment horizontal="justify" vertical="center" wrapText="1"/>
    </xf>
    <xf numFmtId="168" fontId="25" fillId="2" borderId="14" xfId="12" applyNumberFormat="1" applyFont="1" applyFill="1" applyBorder="1" applyAlignment="1">
      <alignment horizontal="center" vertical="center" wrapText="1"/>
    </xf>
    <xf numFmtId="0" fontId="25" fillId="0" borderId="21" xfId="12" applyFont="1" applyBorder="1" applyAlignment="1">
      <alignment horizontal="left" vertical="top" wrapText="1"/>
    </xf>
    <xf numFmtId="0" fontId="4" fillId="0" borderId="1" xfId="12" applyBorder="1"/>
    <xf numFmtId="0" fontId="26" fillId="0" borderId="21" xfId="12" applyFont="1" applyBorder="1" applyAlignment="1">
      <alignment horizontal="justify" vertical="center"/>
    </xf>
    <xf numFmtId="168" fontId="26" fillId="2" borderId="14" xfId="7" applyNumberFormat="1" applyFont="1" applyFill="1" applyBorder="1" applyAlignment="1">
      <alignment horizontal="center" vertical="center"/>
    </xf>
    <xf numFmtId="0" fontId="26" fillId="0" borderId="1" xfId="13" applyFont="1" applyBorder="1" applyAlignment="1">
      <alignment horizontal="justify" vertical="center" wrapText="1"/>
    </xf>
    <xf numFmtId="164" fontId="26" fillId="2" borderId="1" xfId="7" applyNumberFormat="1" applyFont="1" applyFill="1" applyBorder="1" applyAlignment="1">
      <alignment horizontal="center" vertical="center"/>
    </xf>
    <xf numFmtId="168" fontId="26" fillId="2" borderId="1" xfId="7" applyNumberFormat="1" applyFont="1" applyFill="1" applyBorder="1" applyAlignment="1">
      <alignment horizontal="center" vertical="center"/>
    </xf>
    <xf numFmtId="4" fontId="26" fillId="2" borderId="0" xfId="12" applyNumberFormat="1" applyFont="1" applyFill="1"/>
    <xf numFmtId="4" fontId="4" fillId="0" borderId="0" xfId="12" applyNumberFormat="1"/>
    <xf numFmtId="4" fontId="26" fillId="0" borderId="0" xfId="12" applyNumberFormat="1" applyFont="1"/>
    <xf numFmtId="166" fontId="4" fillId="0" borderId="0" xfId="12" applyNumberFormat="1"/>
    <xf numFmtId="168" fontId="4" fillId="0" borderId="0" xfId="12" applyNumberFormat="1"/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/>
    <xf numFmtId="166" fontId="8" fillId="0" borderId="0" xfId="0" applyNumberFormat="1" applyFont="1"/>
    <xf numFmtId="4" fontId="8" fillId="0" borderId="0" xfId="0" applyNumberFormat="1" applyFont="1"/>
    <xf numFmtId="0" fontId="29" fillId="0" borderId="0" xfId="12" applyFont="1"/>
    <xf numFmtId="4" fontId="29" fillId="0" borderId="0" xfId="12" applyNumberFormat="1" applyFont="1"/>
    <xf numFmtId="4" fontId="2" fillId="2" borderId="2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49" fontId="2" fillId="0" borderId="1" xfId="1" applyFont="1" applyBorder="1">
      <alignment horizontal="center"/>
    </xf>
    <xf numFmtId="49" fontId="1" fillId="0" borderId="1" xfId="1" applyFont="1" applyBorder="1">
      <alignment horizontal="center"/>
    </xf>
    <xf numFmtId="0" fontId="1" fillId="0" borderId="1" xfId="2" applyFont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7" fillId="0" borderId="1" xfId="4" applyNumberFormat="1" applyFont="1" applyBorder="1">
      <alignment vertical="top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top" wrapText="1"/>
    </xf>
    <xf numFmtId="49" fontId="1" fillId="0" borderId="2" xfId="1" applyFont="1">
      <alignment horizontal="center"/>
    </xf>
    <xf numFmtId="3" fontId="6" fillId="0" borderId="1" xfId="0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10" fillId="0" borderId="0" xfId="12" applyFont="1" applyAlignment="1">
      <alignment horizontal="left"/>
    </xf>
    <xf numFmtId="3" fontId="10" fillId="0" borderId="0" xfId="12" applyNumberFormat="1" applyFont="1" applyAlignment="1">
      <alignment horizontal="left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25" fillId="0" borderId="0" xfId="12" applyFont="1" applyAlignment="1">
      <alignment horizontal="center" vertical="center" wrapText="1"/>
    </xf>
    <xf numFmtId="0" fontId="28" fillId="2" borderId="0" xfId="12" applyFont="1" applyFill="1" applyAlignment="1">
      <alignment horizontal="center"/>
    </xf>
    <xf numFmtId="0" fontId="28" fillId="0" borderId="0" xfId="12" applyFont="1" applyAlignment="1">
      <alignment horizontal="center" vertical="center"/>
    </xf>
    <xf numFmtId="0" fontId="4" fillId="0" borderId="20" xfId="12" applyBorder="1" applyAlignment="1">
      <alignment horizontal="center"/>
    </xf>
    <xf numFmtId="0" fontId="4" fillId="0" borderId="14" xfId="12" applyBorder="1" applyAlignment="1">
      <alignment horizontal="center"/>
    </xf>
    <xf numFmtId="0" fontId="4" fillId="0" borderId="11" xfId="12" applyBorder="1" applyAlignment="1">
      <alignment horizontal="center"/>
    </xf>
  </cellXfs>
  <cellStyles count="15">
    <cellStyle name="xl30" xfId="2" xr:uid="{00000000-0005-0000-0000-000000000000}"/>
    <cellStyle name="xl35" xfId="14" xr:uid="{00000000-0005-0000-0000-000001000000}"/>
    <cellStyle name="xl37" xfId="5" xr:uid="{00000000-0005-0000-0000-000002000000}"/>
    <cellStyle name="xl40" xfId="11" xr:uid="{00000000-0005-0000-0000-000003000000}"/>
    <cellStyle name="xl41" xfId="1" xr:uid="{00000000-0005-0000-0000-000004000000}"/>
    <cellStyle name="xl50" xfId="8" xr:uid="{00000000-0005-0000-0000-000005000000}"/>
    <cellStyle name="xl84" xfId="6" xr:uid="{00000000-0005-0000-0000-000006000000}"/>
    <cellStyle name="Обычный" xfId="0" builtinId="0"/>
    <cellStyle name="Обычный 10" xfId="12" xr:uid="{00000000-0005-0000-0000-000008000000}"/>
    <cellStyle name="Обычный 2" xfId="4" xr:uid="{00000000-0005-0000-0000-000009000000}"/>
    <cellStyle name="Обычный 2 2" xfId="13" xr:uid="{00000000-0005-0000-0000-00000A000000}"/>
    <cellStyle name="Обычный 3" xfId="10" xr:uid="{00000000-0005-0000-0000-00000B000000}"/>
    <cellStyle name="Обычный 4 2 2" xfId="3" xr:uid="{00000000-0005-0000-0000-00000C000000}"/>
    <cellStyle name="Финансовый" xfId="9" builtinId="3"/>
    <cellStyle name="Финансовый 13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87"/>
  <sheetViews>
    <sheetView zoomScale="90" zoomScaleNormal="90" workbookViewId="0">
      <selection sqref="A1:M1"/>
    </sheetView>
  </sheetViews>
  <sheetFormatPr defaultColWidth="9.140625" defaultRowHeight="15" outlineLevelRow="1" outlineLevelCol="1" x14ac:dyDescent="0.25"/>
  <cols>
    <col min="1" max="1" width="29.85546875" style="2" customWidth="1"/>
    <col min="2" max="2" width="61.140625" style="2" customWidth="1"/>
    <col min="3" max="3" width="18.7109375" style="2" hidden="1" customWidth="1" outlineLevel="1"/>
    <col min="4" max="4" width="21.140625" style="2" hidden="1" customWidth="1" outlineLevel="1"/>
    <col min="5" max="5" width="21.140625" style="2" customWidth="1" collapsed="1"/>
    <col min="6" max="7" width="21.140625" style="2" customWidth="1"/>
    <col min="8" max="8" width="19.140625" style="2" customWidth="1"/>
    <col min="9" max="10" width="21.140625" style="2" customWidth="1"/>
    <col min="11" max="11" width="18.85546875" style="2" customWidth="1"/>
    <col min="12" max="13" width="21.140625" style="2" customWidth="1"/>
    <col min="14" max="14" width="20.7109375" style="10" customWidth="1"/>
    <col min="15" max="15" width="14.85546875" style="2" customWidth="1"/>
    <col min="16" max="16" width="10.5703125" style="2" customWidth="1"/>
    <col min="17" max="17" width="22.42578125" style="2" customWidth="1"/>
    <col min="18" max="16384" width="9.140625" style="2"/>
  </cols>
  <sheetData>
    <row r="1" spans="1:14" ht="57" customHeight="1" x14ac:dyDescent="0.25">
      <c r="A1" s="222" t="s">
        <v>434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43.5" customHeight="1" x14ac:dyDescent="0.25">
      <c r="A2" s="223" t="s">
        <v>101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4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7"/>
      <c r="M3" s="8" t="s">
        <v>104</v>
      </c>
    </row>
    <row r="4" spans="1:14" ht="26.25" customHeight="1" x14ac:dyDescent="0.25">
      <c r="A4" s="176" t="s">
        <v>1</v>
      </c>
      <c r="B4" s="176" t="s">
        <v>2</v>
      </c>
      <c r="C4" s="176">
        <v>2023</v>
      </c>
      <c r="D4" s="79" t="s">
        <v>107</v>
      </c>
      <c r="E4" s="176">
        <v>2023</v>
      </c>
      <c r="F4" s="79" t="s">
        <v>107</v>
      </c>
      <c r="G4" s="177" t="s">
        <v>109</v>
      </c>
      <c r="H4" s="176">
        <v>2024</v>
      </c>
      <c r="I4" s="79" t="s">
        <v>107</v>
      </c>
      <c r="J4" s="177" t="s">
        <v>129</v>
      </c>
      <c r="K4" s="176">
        <v>2025</v>
      </c>
      <c r="L4" s="177" t="s">
        <v>107</v>
      </c>
      <c r="M4" s="20" t="s">
        <v>130</v>
      </c>
    </row>
    <row r="5" spans="1:14" x14ac:dyDescent="0.25">
      <c r="A5" s="178" t="s">
        <v>0</v>
      </c>
      <c r="B5" s="179" t="s">
        <v>3</v>
      </c>
      <c r="C5" s="180">
        <f>C6+C28</f>
        <v>478147594.23000002</v>
      </c>
      <c r="D5" s="180">
        <f>D6+D28</f>
        <v>21177169.079999998</v>
      </c>
      <c r="E5" s="180">
        <f>E6+E28</f>
        <v>499324763.30999994</v>
      </c>
      <c r="F5" s="180">
        <f>F6+F28</f>
        <v>9002761.2300000004</v>
      </c>
      <c r="G5" s="180">
        <f>G6+G28</f>
        <v>508327524.53999996</v>
      </c>
      <c r="H5" s="180">
        <f t="shared" ref="H5:K5" si="0">H6+H28</f>
        <v>500214812.72000003</v>
      </c>
      <c r="I5" s="180">
        <f>I6+I28</f>
        <v>0</v>
      </c>
      <c r="J5" s="180">
        <f>J6+J28</f>
        <v>500214812.72000003</v>
      </c>
      <c r="K5" s="180">
        <f t="shared" si="0"/>
        <v>516414142.72000003</v>
      </c>
      <c r="L5" s="180">
        <f>L6+L28</f>
        <v>0</v>
      </c>
      <c r="M5" s="180">
        <f>M6+M28</f>
        <v>516414142.72000003</v>
      </c>
    </row>
    <row r="6" spans="1:14" x14ac:dyDescent="0.25">
      <c r="A6" s="179" t="s">
        <v>0</v>
      </c>
      <c r="B6" s="179" t="s">
        <v>4</v>
      </c>
      <c r="C6" s="180">
        <f>C7+C10+C20+C26</f>
        <v>425195325.37</v>
      </c>
      <c r="D6" s="180">
        <f>D7+D10+D20+D26</f>
        <v>14525287.91</v>
      </c>
      <c r="E6" s="180">
        <f>E7+E10+E20+E26</f>
        <v>439720613.27999997</v>
      </c>
      <c r="F6" s="180">
        <f>F7+F10+F20+F26</f>
        <v>8698437</v>
      </c>
      <c r="G6" s="180">
        <f>G7+G10+G20+G26</f>
        <v>448419050.27999997</v>
      </c>
      <c r="H6" s="180">
        <f t="shared" ref="H6:K6" si="1">H7+H10+H20+H26</f>
        <v>447279953.86000001</v>
      </c>
      <c r="I6" s="180">
        <f>I7+I10+I20+I26</f>
        <v>0</v>
      </c>
      <c r="J6" s="180">
        <f>J7+J10+J20+J26</f>
        <v>447279953.86000001</v>
      </c>
      <c r="K6" s="180">
        <f t="shared" si="1"/>
        <v>463495673.86000001</v>
      </c>
      <c r="L6" s="180">
        <f>L7+L10+L20+L26</f>
        <v>0</v>
      </c>
      <c r="M6" s="180">
        <f>M7+M10+M20+M26</f>
        <v>463495673.86000001</v>
      </c>
    </row>
    <row r="7" spans="1:14" x14ac:dyDescent="0.25">
      <c r="A7" s="178" t="s">
        <v>5</v>
      </c>
      <c r="B7" s="179" t="s">
        <v>6</v>
      </c>
      <c r="C7" s="180">
        <f t="shared" ref="C7:M8" si="2">C8</f>
        <v>385787000</v>
      </c>
      <c r="D7" s="180">
        <f t="shared" si="2"/>
        <v>0</v>
      </c>
      <c r="E7" s="180">
        <f t="shared" si="2"/>
        <v>385787000</v>
      </c>
      <c r="F7" s="180">
        <f>F8</f>
        <v>4000000</v>
      </c>
      <c r="G7" s="180">
        <f t="shared" si="2"/>
        <v>389787000</v>
      </c>
      <c r="H7" s="180">
        <f t="shared" si="2"/>
        <v>398904000</v>
      </c>
      <c r="I7" s="180">
        <f t="shared" si="2"/>
        <v>0</v>
      </c>
      <c r="J7" s="180">
        <f t="shared" si="2"/>
        <v>398904000</v>
      </c>
      <c r="K7" s="180">
        <f t="shared" si="2"/>
        <v>414860000</v>
      </c>
      <c r="L7" s="180">
        <f t="shared" si="2"/>
        <v>0</v>
      </c>
      <c r="M7" s="180">
        <f t="shared" si="2"/>
        <v>414860000</v>
      </c>
    </row>
    <row r="8" spans="1:14" x14ac:dyDescent="0.25">
      <c r="A8" s="178" t="s">
        <v>7</v>
      </c>
      <c r="B8" s="179" t="s">
        <v>8</v>
      </c>
      <c r="C8" s="180">
        <f t="shared" si="2"/>
        <v>385787000</v>
      </c>
      <c r="D8" s="180">
        <f t="shared" si="2"/>
        <v>0</v>
      </c>
      <c r="E8" s="180">
        <f>E9</f>
        <v>385787000</v>
      </c>
      <c r="F8" s="180">
        <f>F9</f>
        <v>4000000</v>
      </c>
      <c r="G8" s="180">
        <f t="shared" si="2"/>
        <v>389787000</v>
      </c>
      <c r="H8" s="180">
        <f t="shared" si="2"/>
        <v>398904000</v>
      </c>
      <c r="I8" s="180">
        <f t="shared" si="2"/>
        <v>0</v>
      </c>
      <c r="J8" s="180">
        <f t="shared" si="2"/>
        <v>398904000</v>
      </c>
      <c r="K8" s="180">
        <f t="shared" si="2"/>
        <v>414860000</v>
      </c>
      <c r="L8" s="180">
        <f t="shared" si="2"/>
        <v>0</v>
      </c>
      <c r="M8" s="180">
        <f t="shared" si="2"/>
        <v>414860000</v>
      </c>
    </row>
    <row r="9" spans="1:14" ht="63" customHeight="1" x14ac:dyDescent="0.25">
      <c r="A9" s="181" t="s">
        <v>9</v>
      </c>
      <c r="B9" s="182" t="s">
        <v>106</v>
      </c>
      <c r="C9" s="183">
        <v>385787000</v>
      </c>
      <c r="D9" s="184">
        <v>0</v>
      </c>
      <c r="E9" s="184">
        <f>C9+D9</f>
        <v>385787000</v>
      </c>
      <c r="F9" s="184">
        <v>4000000</v>
      </c>
      <c r="G9" s="184">
        <f>E9+F9</f>
        <v>389787000</v>
      </c>
      <c r="H9" s="185">
        <v>398904000</v>
      </c>
      <c r="I9" s="184">
        <v>0</v>
      </c>
      <c r="J9" s="184">
        <f>H9+I9</f>
        <v>398904000</v>
      </c>
      <c r="K9" s="185">
        <v>414860000</v>
      </c>
      <c r="L9" s="184">
        <v>0</v>
      </c>
      <c r="M9" s="184">
        <f>K9+L9</f>
        <v>414860000</v>
      </c>
    </row>
    <row r="10" spans="1:14" ht="42.75" x14ac:dyDescent="0.25">
      <c r="A10" s="178" t="s">
        <v>10</v>
      </c>
      <c r="B10" s="179" t="s">
        <v>11</v>
      </c>
      <c r="C10" s="180">
        <f t="shared" ref="C10:M10" si="3">C11</f>
        <v>756600</v>
      </c>
      <c r="D10" s="180">
        <f t="shared" si="3"/>
        <v>0</v>
      </c>
      <c r="E10" s="180">
        <f t="shared" si="3"/>
        <v>756600</v>
      </c>
      <c r="F10" s="180">
        <f t="shared" si="3"/>
        <v>92259</v>
      </c>
      <c r="G10" s="180">
        <f t="shared" si="3"/>
        <v>848859</v>
      </c>
      <c r="H10" s="180">
        <f t="shared" si="3"/>
        <v>790090</v>
      </c>
      <c r="I10" s="180">
        <f t="shared" si="3"/>
        <v>0</v>
      </c>
      <c r="J10" s="180">
        <f t="shared" si="3"/>
        <v>790090</v>
      </c>
      <c r="K10" s="180">
        <f t="shared" si="3"/>
        <v>1039810</v>
      </c>
      <c r="L10" s="180">
        <f t="shared" si="3"/>
        <v>0</v>
      </c>
      <c r="M10" s="180">
        <f t="shared" si="3"/>
        <v>1039810</v>
      </c>
    </row>
    <row r="11" spans="1:14" ht="28.5" x14ac:dyDescent="0.25">
      <c r="A11" s="178" t="s">
        <v>12</v>
      </c>
      <c r="B11" s="179" t="s">
        <v>13</v>
      </c>
      <c r="C11" s="180">
        <f>SUM(C12:C19)</f>
        <v>756600</v>
      </c>
      <c r="D11" s="180">
        <f t="shared" ref="D11:K11" si="4">SUM(D12:D19)</f>
        <v>0</v>
      </c>
      <c r="E11" s="180">
        <f t="shared" si="4"/>
        <v>756600</v>
      </c>
      <c r="F11" s="180">
        <f>SUM(F12:F19)</f>
        <v>92259</v>
      </c>
      <c r="G11" s="180">
        <f t="shared" si="4"/>
        <v>848859</v>
      </c>
      <c r="H11" s="180">
        <f t="shared" si="4"/>
        <v>790090</v>
      </c>
      <c r="I11" s="180">
        <f t="shared" ref="I11" si="5">SUM(I12:I19)</f>
        <v>0</v>
      </c>
      <c r="J11" s="180">
        <f t="shared" ref="J11" si="6">SUM(J12:J19)</f>
        <v>790090</v>
      </c>
      <c r="K11" s="180">
        <f t="shared" si="4"/>
        <v>1039810</v>
      </c>
      <c r="L11" s="180">
        <f t="shared" ref="L11" si="7">SUM(L12:L19)</f>
        <v>0</v>
      </c>
      <c r="M11" s="180">
        <f t="shared" ref="M11" si="8">SUM(M12:M19)</f>
        <v>1039810</v>
      </c>
    </row>
    <row r="12" spans="1:14" ht="108" customHeight="1" x14ac:dyDescent="0.25">
      <c r="A12" s="186" t="s">
        <v>14</v>
      </c>
      <c r="B12" s="187" t="s">
        <v>15</v>
      </c>
      <c r="C12" s="183">
        <v>358360</v>
      </c>
      <c r="D12" s="184">
        <v>0</v>
      </c>
      <c r="E12" s="184">
        <f t="shared" ref="E12:E19" si="9">C12+D12</f>
        <v>358360</v>
      </c>
      <c r="F12" s="184">
        <v>-358360</v>
      </c>
      <c r="G12" s="184">
        <f t="shared" ref="G12:G19" si="10">E12+F12</f>
        <v>0</v>
      </c>
      <c r="H12" s="183">
        <v>376940</v>
      </c>
      <c r="I12" s="184">
        <v>-376940</v>
      </c>
      <c r="J12" s="184">
        <f t="shared" ref="J12:J19" si="11">H12+I12</f>
        <v>0</v>
      </c>
      <c r="K12" s="183">
        <v>497290</v>
      </c>
      <c r="L12" s="184">
        <v>-497290</v>
      </c>
      <c r="M12" s="184">
        <f t="shared" ref="M12:M19" si="12">K12+L12</f>
        <v>0</v>
      </c>
      <c r="N12" s="11" t="s">
        <v>121</v>
      </c>
    </row>
    <row r="13" spans="1:14" ht="106.5" customHeight="1" x14ac:dyDescent="0.25">
      <c r="A13" s="186" t="s">
        <v>127</v>
      </c>
      <c r="B13" s="187" t="s">
        <v>125</v>
      </c>
      <c r="C13" s="183">
        <v>0</v>
      </c>
      <c r="D13" s="184">
        <v>0</v>
      </c>
      <c r="E13" s="184">
        <f t="shared" si="9"/>
        <v>0</v>
      </c>
      <c r="F13" s="184">
        <v>436724</v>
      </c>
      <c r="G13" s="184">
        <f t="shared" si="10"/>
        <v>436724</v>
      </c>
      <c r="H13" s="183">
        <v>0</v>
      </c>
      <c r="I13" s="184">
        <v>376940</v>
      </c>
      <c r="J13" s="184">
        <f t="shared" si="11"/>
        <v>376940</v>
      </c>
      <c r="K13" s="183">
        <v>0</v>
      </c>
      <c r="L13" s="184">
        <v>497290</v>
      </c>
      <c r="M13" s="184">
        <f t="shared" si="12"/>
        <v>497290</v>
      </c>
      <c r="N13" s="11"/>
    </row>
    <row r="14" spans="1:14" ht="75.75" customHeight="1" x14ac:dyDescent="0.25">
      <c r="A14" s="186" t="s">
        <v>16</v>
      </c>
      <c r="B14" s="187" t="s">
        <v>17</v>
      </c>
      <c r="C14" s="183">
        <v>2490</v>
      </c>
      <c r="D14" s="184">
        <v>0</v>
      </c>
      <c r="E14" s="184">
        <f t="shared" si="9"/>
        <v>2490</v>
      </c>
      <c r="F14" s="184">
        <v>-2490</v>
      </c>
      <c r="G14" s="184">
        <f t="shared" si="10"/>
        <v>0</v>
      </c>
      <c r="H14" s="183">
        <v>2570</v>
      </c>
      <c r="I14" s="184">
        <v>-2570</v>
      </c>
      <c r="J14" s="184">
        <f t="shared" si="11"/>
        <v>0</v>
      </c>
      <c r="K14" s="183">
        <v>3310</v>
      </c>
      <c r="L14" s="184">
        <v>-3310</v>
      </c>
      <c r="M14" s="184">
        <f t="shared" si="12"/>
        <v>0</v>
      </c>
    </row>
    <row r="15" spans="1:14" ht="120" x14ac:dyDescent="0.25">
      <c r="A15" s="186" t="s">
        <v>128</v>
      </c>
      <c r="B15" s="188" t="s">
        <v>126</v>
      </c>
      <c r="C15" s="183">
        <v>0</v>
      </c>
      <c r="D15" s="184">
        <v>0</v>
      </c>
      <c r="E15" s="184">
        <f t="shared" si="9"/>
        <v>0</v>
      </c>
      <c r="F15" s="184">
        <v>2264</v>
      </c>
      <c r="G15" s="184">
        <f t="shared" si="10"/>
        <v>2264</v>
      </c>
      <c r="H15" s="183">
        <v>0</v>
      </c>
      <c r="I15" s="184">
        <v>2570</v>
      </c>
      <c r="J15" s="184">
        <f t="shared" si="11"/>
        <v>2570</v>
      </c>
      <c r="K15" s="183">
        <v>0</v>
      </c>
      <c r="L15" s="184">
        <v>3310</v>
      </c>
      <c r="M15" s="184">
        <f t="shared" si="12"/>
        <v>3310</v>
      </c>
    </row>
    <row r="16" spans="1:14" ht="60.75" customHeight="1" x14ac:dyDescent="0.25">
      <c r="A16" s="186" t="s">
        <v>18</v>
      </c>
      <c r="B16" s="189" t="s">
        <v>19</v>
      </c>
      <c r="C16" s="183">
        <v>443010</v>
      </c>
      <c r="D16" s="184">
        <v>0</v>
      </c>
      <c r="E16" s="184">
        <f t="shared" si="9"/>
        <v>443010</v>
      </c>
      <c r="F16" s="184">
        <v>-443010</v>
      </c>
      <c r="G16" s="184">
        <f t="shared" si="10"/>
        <v>0</v>
      </c>
      <c r="H16" s="183">
        <v>459950</v>
      </c>
      <c r="I16" s="184">
        <v>-459950</v>
      </c>
      <c r="J16" s="184">
        <f t="shared" si="11"/>
        <v>0</v>
      </c>
      <c r="K16" s="183">
        <v>600450</v>
      </c>
      <c r="L16" s="184">
        <v>-600450</v>
      </c>
      <c r="M16" s="184">
        <f t="shared" si="12"/>
        <v>0</v>
      </c>
    </row>
    <row r="17" spans="1:15" ht="120" x14ac:dyDescent="0.25">
      <c r="A17" s="186" t="s">
        <v>122</v>
      </c>
      <c r="B17" s="187" t="s">
        <v>19</v>
      </c>
      <c r="C17" s="183">
        <v>0</v>
      </c>
      <c r="D17" s="184">
        <v>0</v>
      </c>
      <c r="E17" s="184">
        <f t="shared" si="9"/>
        <v>0</v>
      </c>
      <c r="F17" s="184">
        <v>471562</v>
      </c>
      <c r="G17" s="184">
        <f t="shared" si="10"/>
        <v>471562</v>
      </c>
      <c r="H17" s="183">
        <v>0</v>
      </c>
      <c r="I17" s="184">
        <v>459950</v>
      </c>
      <c r="J17" s="184">
        <f t="shared" si="11"/>
        <v>459950</v>
      </c>
      <c r="K17" s="183">
        <v>0</v>
      </c>
      <c r="L17" s="184">
        <v>600450</v>
      </c>
      <c r="M17" s="184">
        <f t="shared" si="12"/>
        <v>600450</v>
      </c>
    </row>
    <row r="18" spans="1:15" ht="59.25" customHeight="1" x14ac:dyDescent="0.25">
      <c r="A18" s="186" t="s">
        <v>20</v>
      </c>
      <c r="B18" s="189" t="s">
        <v>21</v>
      </c>
      <c r="C18" s="183">
        <v>-47260</v>
      </c>
      <c r="D18" s="184">
        <v>0</v>
      </c>
      <c r="E18" s="184">
        <f t="shared" si="9"/>
        <v>-47260</v>
      </c>
      <c r="F18" s="184">
        <v>47260</v>
      </c>
      <c r="G18" s="184">
        <f t="shared" si="10"/>
        <v>0</v>
      </c>
      <c r="H18" s="183">
        <v>-49370</v>
      </c>
      <c r="I18" s="184">
        <v>49370</v>
      </c>
      <c r="J18" s="184">
        <f t="shared" si="11"/>
        <v>0</v>
      </c>
      <c r="K18" s="183">
        <v>-61240</v>
      </c>
      <c r="L18" s="184">
        <v>61240</v>
      </c>
      <c r="M18" s="184">
        <f t="shared" si="12"/>
        <v>0</v>
      </c>
    </row>
    <row r="19" spans="1:15" ht="120" x14ac:dyDescent="0.25">
      <c r="A19" s="186" t="s">
        <v>123</v>
      </c>
      <c r="B19" s="187" t="s">
        <v>124</v>
      </c>
      <c r="C19" s="183">
        <v>0</v>
      </c>
      <c r="D19" s="184">
        <v>0</v>
      </c>
      <c r="E19" s="184">
        <f t="shared" si="9"/>
        <v>0</v>
      </c>
      <c r="F19" s="184">
        <v>-61691</v>
      </c>
      <c r="G19" s="184">
        <f t="shared" si="10"/>
        <v>-61691</v>
      </c>
      <c r="H19" s="183">
        <v>0</v>
      </c>
      <c r="I19" s="184">
        <v>-49370</v>
      </c>
      <c r="J19" s="184">
        <f t="shared" si="11"/>
        <v>-49370</v>
      </c>
      <c r="K19" s="183">
        <v>0</v>
      </c>
      <c r="L19" s="184">
        <v>-61240</v>
      </c>
      <c r="M19" s="184">
        <f t="shared" si="12"/>
        <v>-61240</v>
      </c>
    </row>
    <row r="20" spans="1:15" x14ac:dyDescent="0.25">
      <c r="A20" s="178" t="s">
        <v>22</v>
      </c>
      <c r="B20" s="179" t="s">
        <v>23</v>
      </c>
      <c r="C20" s="180">
        <f t="shared" ref="C20:K20" si="13">C21+C23</f>
        <v>38436725.370000005</v>
      </c>
      <c r="D20" s="180">
        <f t="shared" si="13"/>
        <v>14525287.91</v>
      </c>
      <c r="E20" s="180">
        <f t="shared" si="13"/>
        <v>52962013.280000001</v>
      </c>
      <c r="F20" s="180">
        <f t="shared" ref="F20:G20" si="14">F21+F23</f>
        <v>4606178</v>
      </c>
      <c r="G20" s="180">
        <f t="shared" si="14"/>
        <v>57568191.280000001</v>
      </c>
      <c r="H20" s="180">
        <f t="shared" si="13"/>
        <v>47360863.859999999</v>
      </c>
      <c r="I20" s="180">
        <f t="shared" si="13"/>
        <v>0</v>
      </c>
      <c r="J20" s="180">
        <f t="shared" si="13"/>
        <v>47360863.859999999</v>
      </c>
      <c r="K20" s="180">
        <f t="shared" si="13"/>
        <v>47360863.859999999</v>
      </c>
      <c r="L20" s="180">
        <f t="shared" ref="L20:M20" si="15">L21+L23</f>
        <v>0</v>
      </c>
      <c r="M20" s="180">
        <f t="shared" si="15"/>
        <v>47360863.859999999</v>
      </c>
      <c r="O20" s="3"/>
    </row>
    <row r="21" spans="1:15" x14ac:dyDescent="0.25">
      <c r="A21" s="178" t="s">
        <v>24</v>
      </c>
      <c r="B21" s="179" t="s">
        <v>25</v>
      </c>
      <c r="C21" s="180">
        <f t="shared" ref="C21:M21" si="16">C22</f>
        <v>8500000</v>
      </c>
      <c r="D21" s="180">
        <f t="shared" si="16"/>
        <v>0</v>
      </c>
      <c r="E21" s="180">
        <f t="shared" si="16"/>
        <v>8500000</v>
      </c>
      <c r="F21" s="180">
        <f t="shared" si="16"/>
        <v>0</v>
      </c>
      <c r="G21" s="180">
        <f t="shared" si="16"/>
        <v>8500000</v>
      </c>
      <c r="H21" s="180">
        <f t="shared" si="16"/>
        <v>8500000</v>
      </c>
      <c r="I21" s="180">
        <f t="shared" si="16"/>
        <v>0</v>
      </c>
      <c r="J21" s="180">
        <f t="shared" si="16"/>
        <v>8500000</v>
      </c>
      <c r="K21" s="180">
        <f t="shared" si="16"/>
        <v>8500000</v>
      </c>
      <c r="L21" s="180">
        <f t="shared" si="16"/>
        <v>0</v>
      </c>
      <c r="M21" s="180">
        <f t="shared" si="16"/>
        <v>8500000</v>
      </c>
      <c r="O21" s="3"/>
    </row>
    <row r="22" spans="1:15" ht="29.25" customHeight="1" x14ac:dyDescent="0.25">
      <c r="A22" s="181" t="s">
        <v>26</v>
      </c>
      <c r="B22" s="187" t="s">
        <v>27</v>
      </c>
      <c r="C22" s="184">
        <v>8500000</v>
      </c>
      <c r="D22" s="184">
        <v>0</v>
      </c>
      <c r="E22" s="184">
        <f>C22+D22</f>
        <v>8500000</v>
      </c>
      <c r="F22" s="184">
        <v>0</v>
      </c>
      <c r="G22" s="184">
        <f>E22+F22</f>
        <v>8500000</v>
      </c>
      <c r="H22" s="184">
        <v>8500000</v>
      </c>
      <c r="I22" s="184">
        <v>0</v>
      </c>
      <c r="J22" s="184">
        <f>H22+I22</f>
        <v>8500000</v>
      </c>
      <c r="K22" s="184">
        <v>8500000</v>
      </c>
      <c r="L22" s="184">
        <v>0</v>
      </c>
      <c r="M22" s="184">
        <f>K22+L22</f>
        <v>8500000</v>
      </c>
    </row>
    <row r="23" spans="1:15" x14ac:dyDescent="0.25">
      <c r="A23" s="178" t="s">
        <v>28</v>
      </c>
      <c r="B23" s="179" t="s">
        <v>29</v>
      </c>
      <c r="C23" s="180">
        <f t="shared" ref="C23:K23" si="17">C24+C25</f>
        <v>29936725.370000001</v>
      </c>
      <c r="D23" s="180">
        <f t="shared" si="17"/>
        <v>14525287.91</v>
      </c>
      <c r="E23" s="180">
        <f t="shared" si="17"/>
        <v>44462013.280000001</v>
      </c>
      <c r="F23" s="180">
        <f t="shared" ref="F23:G23" si="18">F24+F25</f>
        <v>4606178</v>
      </c>
      <c r="G23" s="180">
        <f t="shared" si="18"/>
        <v>49068191.280000001</v>
      </c>
      <c r="H23" s="180">
        <f t="shared" si="17"/>
        <v>38860863.859999999</v>
      </c>
      <c r="I23" s="180">
        <f t="shared" si="17"/>
        <v>0</v>
      </c>
      <c r="J23" s="180">
        <f t="shared" si="17"/>
        <v>38860863.859999999</v>
      </c>
      <c r="K23" s="180">
        <f t="shared" si="17"/>
        <v>38860863.859999999</v>
      </c>
      <c r="L23" s="180">
        <f t="shared" ref="L23:M23" si="19">L24+L25</f>
        <v>0</v>
      </c>
      <c r="M23" s="180">
        <f t="shared" si="19"/>
        <v>38860863.859999999</v>
      </c>
      <c r="O23" s="3"/>
    </row>
    <row r="24" spans="1:15" ht="29.25" customHeight="1" x14ac:dyDescent="0.25">
      <c r="A24" s="181" t="s">
        <v>30</v>
      </c>
      <c r="B24" s="189" t="s">
        <v>31</v>
      </c>
      <c r="C24" s="184">
        <v>23846415.370000001</v>
      </c>
      <c r="D24" s="184">
        <v>14525287.91</v>
      </c>
      <c r="E24" s="184">
        <f>C24+D24</f>
        <v>38371703.280000001</v>
      </c>
      <c r="F24" s="184">
        <v>4606178</v>
      </c>
      <c r="G24" s="184">
        <f>E24+F24</f>
        <v>42977881.280000001</v>
      </c>
      <c r="H24" s="184">
        <v>32770553.859999999</v>
      </c>
      <c r="I24" s="184">
        <v>0</v>
      </c>
      <c r="J24" s="184">
        <f>H24+I24</f>
        <v>32770553.859999999</v>
      </c>
      <c r="K24" s="184">
        <v>32770553.859999999</v>
      </c>
      <c r="L24" s="184">
        <v>0</v>
      </c>
      <c r="M24" s="184">
        <f>K24+L24</f>
        <v>32770553.859999999</v>
      </c>
    </row>
    <row r="25" spans="1:15" ht="30" customHeight="1" x14ac:dyDescent="0.25">
      <c r="A25" s="181" t="s">
        <v>32</v>
      </c>
      <c r="B25" s="189" t="s">
        <v>33</v>
      </c>
      <c r="C25" s="184">
        <v>6090310</v>
      </c>
      <c r="D25" s="184">
        <v>0</v>
      </c>
      <c r="E25" s="184">
        <f>C25+D25</f>
        <v>6090310</v>
      </c>
      <c r="F25" s="184">
        <v>0</v>
      </c>
      <c r="G25" s="184">
        <f>E25+F25</f>
        <v>6090310</v>
      </c>
      <c r="H25" s="184">
        <v>6090310</v>
      </c>
      <c r="I25" s="184">
        <v>0</v>
      </c>
      <c r="J25" s="184">
        <f>H25+I25</f>
        <v>6090310</v>
      </c>
      <c r="K25" s="184">
        <v>6090310</v>
      </c>
      <c r="L25" s="184">
        <v>0</v>
      </c>
      <c r="M25" s="184">
        <f>K25+L25</f>
        <v>6090310</v>
      </c>
    </row>
    <row r="26" spans="1:15" x14ac:dyDescent="0.25">
      <c r="A26" s="190" t="s">
        <v>34</v>
      </c>
      <c r="B26" s="179" t="s">
        <v>35</v>
      </c>
      <c r="C26" s="180">
        <f t="shared" ref="C26:M26" si="20">C27</f>
        <v>215000</v>
      </c>
      <c r="D26" s="180">
        <f t="shared" si="20"/>
        <v>0</v>
      </c>
      <c r="E26" s="180">
        <f t="shared" si="20"/>
        <v>215000</v>
      </c>
      <c r="F26" s="180">
        <f t="shared" si="20"/>
        <v>0</v>
      </c>
      <c r="G26" s="180">
        <f t="shared" si="20"/>
        <v>215000</v>
      </c>
      <c r="H26" s="180">
        <f t="shared" si="20"/>
        <v>225000</v>
      </c>
      <c r="I26" s="180">
        <f t="shared" si="20"/>
        <v>0</v>
      </c>
      <c r="J26" s="180">
        <f t="shared" si="20"/>
        <v>225000</v>
      </c>
      <c r="K26" s="180">
        <f t="shared" si="20"/>
        <v>235000</v>
      </c>
      <c r="L26" s="180">
        <f t="shared" si="20"/>
        <v>0</v>
      </c>
      <c r="M26" s="180">
        <f t="shared" si="20"/>
        <v>235000</v>
      </c>
    </row>
    <row r="27" spans="1:15" ht="45" customHeight="1" x14ac:dyDescent="0.25">
      <c r="A27" s="191" t="s">
        <v>108</v>
      </c>
      <c r="B27" s="192" t="s">
        <v>36</v>
      </c>
      <c r="C27" s="184">
        <v>215000</v>
      </c>
      <c r="D27" s="184">
        <v>0</v>
      </c>
      <c r="E27" s="184">
        <f>C27+D27</f>
        <v>215000</v>
      </c>
      <c r="F27" s="184">
        <v>0</v>
      </c>
      <c r="G27" s="184">
        <f>E27+F27</f>
        <v>215000</v>
      </c>
      <c r="H27" s="184">
        <v>225000</v>
      </c>
      <c r="I27" s="184">
        <v>0</v>
      </c>
      <c r="J27" s="184">
        <f>H27+I27</f>
        <v>225000</v>
      </c>
      <c r="K27" s="184">
        <v>235000</v>
      </c>
      <c r="L27" s="184">
        <v>0</v>
      </c>
      <c r="M27" s="184">
        <f>K27+L27</f>
        <v>235000</v>
      </c>
    </row>
    <row r="28" spans="1:15" x14ac:dyDescent="0.25">
      <c r="A28" s="179" t="s">
        <v>0</v>
      </c>
      <c r="B28" s="179" t="s">
        <v>37</v>
      </c>
      <c r="C28" s="180">
        <f>C29+C40+C47+C50</f>
        <v>52952268.859999999</v>
      </c>
      <c r="D28" s="180">
        <f>D29+D40+D47+D50+D37</f>
        <v>6651881.1699999999</v>
      </c>
      <c r="E28" s="180">
        <f>E29+E40+E47+E50+E37</f>
        <v>59604150.030000001</v>
      </c>
      <c r="F28" s="180">
        <f>F29+F40+F47+F50+F37</f>
        <v>304324.23000000045</v>
      </c>
      <c r="G28" s="180">
        <f>G29+G40+G47+G50+G37</f>
        <v>59908474.259999998</v>
      </c>
      <c r="H28" s="180">
        <f>H29+H40+H47</f>
        <v>52934858.859999999</v>
      </c>
      <c r="I28" s="180">
        <f>I29+I40+I47+I50+I37</f>
        <v>0</v>
      </c>
      <c r="J28" s="180">
        <f>J29+J40+J47+J50+J37</f>
        <v>52934858.859999999</v>
      </c>
      <c r="K28" s="180">
        <f>K29+K40+K47</f>
        <v>52918468.859999999</v>
      </c>
      <c r="L28" s="180">
        <f>L29+L40+L47+L50+L37</f>
        <v>0</v>
      </c>
      <c r="M28" s="180">
        <f>M29+M40+M47+M50+M37</f>
        <v>52918468.859999999</v>
      </c>
    </row>
    <row r="29" spans="1:15" ht="27.75" customHeight="1" x14ac:dyDescent="0.25">
      <c r="A29" s="178" t="s">
        <v>38</v>
      </c>
      <c r="B29" s="179" t="s">
        <v>39</v>
      </c>
      <c r="C29" s="180">
        <f>C30+C35</f>
        <v>46610768.859999999</v>
      </c>
      <c r="D29" s="180">
        <f>D30+D35</f>
        <v>0</v>
      </c>
      <c r="E29" s="180">
        <f t="shared" ref="E29" si="21">E30+E35</f>
        <v>46610768.859999999</v>
      </c>
      <c r="F29" s="180">
        <f>F30+F35</f>
        <v>3747619.4</v>
      </c>
      <c r="G29" s="180">
        <f t="shared" ref="G29" si="22">G30+G35</f>
        <v>50358388.259999998</v>
      </c>
      <c r="H29" s="180">
        <f t="shared" ref="H29:K29" si="23">H30+H35</f>
        <v>46666758.859999999</v>
      </c>
      <c r="I29" s="180">
        <f>I30+I35</f>
        <v>0</v>
      </c>
      <c r="J29" s="180">
        <f t="shared" ref="J29" si="24">J30+J35</f>
        <v>46666758.859999999</v>
      </c>
      <c r="K29" s="180">
        <f t="shared" si="23"/>
        <v>46724988.859999999</v>
      </c>
      <c r="L29" s="180">
        <f>L30+L35</f>
        <v>0</v>
      </c>
      <c r="M29" s="180">
        <f t="shared" ref="M29" si="25">M30+M35</f>
        <v>46724988.859999999</v>
      </c>
    </row>
    <row r="30" spans="1:15" ht="43.5" customHeight="1" x14ac:dyDescent="0.25">
      <c r="A30" s="178" t="s">
        <v>40</v>
      </c>
      <c r="B30" s="179" t="s">
        <v>41</v>
      </c>
      <c r="C30" s="180">
        <f t="shared" ref="C30:D30" si="26">C31+C32+C33</f>
        <v>45209088.859999999</v>
      </c>
      <c r="D30" s="180">
        <f t="shared" si="26"/>
        <v>0</v>
      </c>
      <c r="E30" s="180">
        <f>E31+E32+E33+E34</f>
        <v>45209088.859999999</v>
      </c>
      <c r="F30" s="180">
        <f>F31+F32+F33+F34</f>
        <v>3747619.4</v>
      </c>
      <c r="G30" s="180">
        <f t="shared" ref="G30:M30" si="27">G31+G32+G33+G34</f>
        <v>48956708.259999998</v>
      </c>
      <c r="H30" s="180">
        <f t="shared" si="27"/>
        <v>45265078.859999999</v>
      </c>
      <c r="I30" s="180">
        <f t="shared" si="27"/>
        <v>0</v>
      </c>
      <c r="J30" s="180">
        <f t="shared" si="27"/>
        <v>45265078.859999999</v>
      </c>
      <c r="K30" s="180">
        <f t="shared" si="27"/>
        <v>45323308.859999999</v>
      </c>
      <c r="L30" s="180">
        <f t="shared" si="27"/>
        <v>0</v>
      </c>
      <c r="M30" s="180">
        <f t="shared" si="27"/>
        <v>45323308.859999999</v>
      </c>
    </row>
    <row r="31" spans="1:15" ht="45" customHeight="1" x14ac:dyDescent="0.25">
      <c r="A31" s="181" t="s">
        <v>42</v>
      </c>
      <c r="B31" s="187" t="s">
        <v>43</v>
      </c>
      <c r="C31" s="184">
        <v>40363807.850000001</v>
      </c>
      <c r="D31" s="184">
        <v>0</v>
      </c>
      <c r="E31" s="184">
        <f>C31+D31</f>
        <v>40363807.850000001</v>
      </c>
      <c r="F31" s="184">
        <v>0</v>
      </c>
      <c r="G31" s="184">
        <f>E31+F31</f>
        <v>40363807.850000001</v>
      </c>
      <c r="H31" s="184">
        <v>40363807.850000001</v>
      </c>
      <c r="I31" s="184">
        <v>0</v>
      </c>
      <c r="J31" s="184">
        <f>H31+I31</f>
        <v>40363807.850000001</v>
      </c>
      <c r="K31" s="184">
        <v>40363807.850000001</v>
      </c>
      <c r="L31" s="184">
        <v>0</v>
      </c>
      <c r="M31" s="184">
        <f>K31+L31</f>
        <v>40363807.850000001</v>
      </c>
    </row>
    <row r="32" spans="1:15" ht="43.5" customHeight="1" x14ac:dyDescent="0.25">
      <c r="A32" s="181" t="s">
        <v>44</v>
      </c>
      <c r="B32" s="189" t="s">
        <v>45</v>
      </c>
      <c r="C32" s="184">
        <v>1889861.01</v>
      </c>
      <c r="D32" s="184">
        <v>0</v>
      </c>
      <c r="E32" s="184">
        <f>C32+D32</f>
        <v>1889861.01</v>
      </c>
      <c r="F32" s="184">
        <v>0</v>
      </c>
      <c r="G32" s="184">
        <f>E32+F32</f>
        <v>1889861.01</v>
      </c>
      <c r="H32" s="184">
        <v>1889861.01</v>
      </c>
      <c r="I32" s="184">
        <v>0</v>
      </c>
      <c r="J32" s="184">
        <f>H32+I32</f>
        <v>1889861.01</v>
      </c>
      <c r="K32" s="184">
        <v>1889861.01</v>
      </c>
      <c r="L32" s="184">
        <v>0</v>
      </c>
      <c r="M32" s="184">
        <f>K32+L32</f>
        <v>1889861.01</v>
      </c>
    </row>
    <row r="33" spans="1:14" ht="30" x14ac:dyDescent="0.25">
      <c r="A33" s="181" t="s">
        <v>46</v>
      </c>
      <c r="B33" s="189" t="s">
        <v>47</v>
      </c>
      <c r="C33" s="184">
        <v>2955420</v>
      </c>
      <c r="D33" s="184">
        <v>0</v>
      </c>
      <c r="E33" s="184">
        <f>C33+D33</f>
        <v>2955420</v>
      </c>
      <c r="F33" s="184">
        <v>0</v>
      </c>
      <c r="G33" s="184">
        <f>E33+F33</f>
        <v>2955420</v>
      </c>
      <c r="H33" s="184">
        <v>3011410</v>
      </c>
      <c r="I33" s="184">
        <v>0</v>
      </c>
      <c r="J33" s="184">
        <f>H33+I33</f>
        <v>3011410</v>
      </c>
      <c r="K33" s="184">
        <v>3069640</v>
      </c>
      <c r="L33" s="184">
        <v>0</v>
      </c>
      <c r="M33" s="184">
        <f>K33+L33</f>
        <v>3069640</v>
      </c>
    </row>
    <row r="34" spans="1:14" ht="113.25" customHeight="1" x14ac:dyDescent="0.25">
      <c r="A34" s="181" t="s">
        <v>131</v>
      </c>
      <c r="B34" s="189" t="s">
        <v>132</v>
      </c>
      <c r="C34" s="184">
        <v>0</v>
      </c>
      <c r="D34" s="184">
        <v>0</v>
      </c>
      <c r="E34" s="184">
        <f>C34+D34</f>
        <v>0</v>
      </c>
      <c r="F34" s="184">
        <v>3747619.4</v>
      </c>
      <c r="G34" s="184">
        <f>E34+F34</f>
        <v>3747619.4</v>
      </c>
      <c r="H34" s="184">
        <v>0</v>
      </c>
      <c r="I34" s="184">
        <v>0</v>
      </c>
      <c r="J34" s="184">
        <f>H34+I34</f>
        <v>0</v>
      </c>
      <c r="K34" s="184">
        <v>0</v>
      </c>
      <c r="L34" s="184">
        <v>0</v>
      </c>
      <c r="M34" s="184">
        <f>K34+L34</f>
        <v>0</v>
      </c>
    </row>
    <row r="35" spans="1:14" ht="44.25" customHeight="1" x14ac:dyDescent="0.25">
      <c r="A35" s="178" t="s">
        <v>48</v>
      </c>
      <c r="B35" s="179" t="s">
        <v>49</v>
      </c>
      <c r="C35" s="180">
        <f t="shared" ref="C35:M35" si="28">C36</f>
        <v>1401680</v>
      </c>
      <c r="D35" s="180">
        <f t="shared" si="28"/>
        <v>0</v>
      </c>
      <c r="E35" s="180">
        <f t="shared" si="28"/>
        <v>1401680</v>
      </c>
      <c r="F35" s="180">
        <f>F36</f>
        <v>0</v>
      </c>
      <c r="G35" s="180">
        <f t="shared" si="28"/>
        <v>1401680</v>
      </c>
      <c r="H35" s="180">
        <f t="shared" si="28"/>
        <v>1401680</v>
      </c>
      <c r="I35" s="180">
        <f t="shared" si="28"/>
        <v>0</v>
      </c>
      <c r="J35" s="180">
        <f t="shared" si="28"/>
        <v>1401680</v>
      </c>
      <c r="K35" s="180">
        <f t="shared" si="28"/>
        <v>1401680</v>
      </c>
      <c r="L35" s="180">
        <f t="shared" si="28"/>
        <v>0</v>
      </c>
      <c r="M35" s="180">
        <f t="shared" si="28"/>
        <v>1401680</v>
      </c>
    </row>
    <row r="36" spans="1:14" ht="43.5" customHeight="1" x14ac:dyDescent="0.25">
      <c r="A36" s="181" t="s">
        <v>50</v>
      </c>
      <c r="B36" s="189" t="s">
        <v>51</v>
      </c>
      <c r="C36" s="184">
        <v>1401680</v>
      </c>
      <c r="D36" s="184">
        <v>0</v>
      </c>
      <c r="E36" s="184">
        <f>C36+D36</f>
        <v>1401680</v>
      </c>
      <c r="F36" s="184">
        <v>0</v>
      </c>
      <c r="G36" s="184">
        <f>E36+F36</f>
        <v>1401680</v>
      </c>
      <c r="H36" s="184">
        <v>1401680</v>
      </c>
      <c r="I36" s="184">
        <v>0</v>
      </c>
      <c r="J36" s="184">
        <f>H36+I36</f>
        <v>1401680</v>
      </c>
      <c r="K36" s="184">
        <v>1401680</v>
      </c>
      <c r="L36" s="184">
        <v>0</v>
      </c>
      <c r="M36" s="184">
        <f>K36+L36</f>
        <v>1401680</v>
      </c>
    </row>
    <row r="37" spans="1:14" ht="32.25" customHeight="1" x14ac:dyDescent="0.25">
      <c r="A37" s="193" t="s">
        <v>112</v>
      </c>
      <c r="B37" s="194" t="s">
        <v>110</v>
      </c>
      <c r="C37" s="195">
        <f>C38</f>
        <v>0</v>
      </c>
      <c r="D37" s="195">
        <f>D38</f>
        <v>4436971.17</v>
      </c>
      <c r="E37" s="195">
        <f t="shared" ref="D37:M38" si="29">E38</f>
        <v>4436971.17</v>
      </c>
      <c r="F37" s="195">
        <f>F38</f>
        <v>-4006195.17</v>
      </c>
      <c r="G37" s="195">
        <f t="shared" si="29"/>
        <v>430776</v>
      </c>
      <c r="H37" s="195">
        <f t="shared" si="29"/>
        <v>0</v>
      </c>
      <c r="I37" s="195">
        <f>I38</f>
        <v>0</v>
      </c>
      <c r="J37" s="195">
        <f t="shared" si="29"/>
        <v>0</v>
      </c>
      <c r="K37" s="195">
        <f t="shared" si="29"/>
        <v>0</v>
      </c>
      <c r="L37" s="195">
        <f>L38</f>
        <v>0</v>
      </c>
      <c r="M37" s="195">
        <f t="shared" si="29"/>
        <v>0</v>
      </c>
    </row>
    <row r="38" spans="1:14" ht="18.75" customHeight="1" x14ac:dyDescent="0.25">
      <c r="A38" s="193" t="s">
        <v>113</v>
      </c>
      <c r="B38" s="194" t="s">
        <v>111</v>
      </c>
      <c r="C38" s="195">
        <f>C39</f>
        <v>0</v>
      </c>
      <c r="D38" s="195">
        <f t="shared" si="29"/>
        <v>4436971.17</v>
      </c>
      <c r="E38" s="195">
        <f t="shared" si="29"/>
        <v>4436971.17</v>
      </c>
      <c r="F38" s="195">
        <f>F39</f>
        <v>-4006195.17</v>
      </c>
      <c r="G38" s="195">
        <f t="shared" si="29"/>
        <v>430776</v>
      </c>
      <c r="H38" s="195">
        <f t="shared" si="29"/>
        <v>0</v>
      </c>
      <c r="I38" s="195">
        <f t="shared" si="29"/>
        <v>0</v>
      </c>
      <c r="J38" s="195">
        <f t="shared" si="29"/>
        <v>0</v>
      </c>
      <c r="K38" s="195">
        <f t="shared" si="29"/>
        <v>0</v>
      </c>
      <c r="L38" s="195">
        <f t="shared" si="29"/>
        <v>0</v>
      </c>
      <c r="M38" s="195">
        <f t="shared" si="29"/>
        <v>0</v>
      </c>
    </row>
    <row r="39" spans="1:14" ht="18.75" customHeight="1" x14ac:dyDescent="0.25">
      <c r="A39" s="181" t="s">
        <v>115</v>
      </c>
      <c r="B39" s="196" t="s">
        <v>114</v>
      </c>
      <c r="C39" s="184">
        <v>0</v>
      </c>
      <c r="D39" s="184">
        <v>4436971.17</v>
      </c>
      <c r="E39" s="184">
        <f>D39+C39</f>
        <v>4436971.17</v>
      </c>
      <c r="F39" s="184">
        <f>-4436971.17+430776</f>
        <v>-4006195.17</v>
      </c>
      <c r="G39" s="184">
        <f>F39+E39</f>
        <v>430776</v>
      </c>
      <c r="H39" s="184">
        <v>0</v>
      </c>
      <c r="I39" s="184">
        <v>0</v>
      </c>
      <c r="J39" s="184">
        <f>I39+H39</f>
        <v>0</v>
      </c>
      <c r="K39" s="184">
        <v>0</v>
      </c>
      <c r="L39" s="184">
        <v>0</v>
      </c>
      <c r="M39" s="184">
        <f>L39+K39</f>
        <v>0</v>
      </c>
      <c r="N39" s="10" t="s">
        <v>118</v>
      </c>
    </row>
    <row r="40" spans="1:14" ht="28.5" x14ac:dyDescent="0.25">
      <c r="A40" s="178" t="s">
        <v>52</v>
      </c>
      <c r="B40" s="179" t="s">
        <v>53</v>
      </c>
      <c r="C40" s="180">
        <f>C42+C45</f>
        <v>6017500</v>
      </c>
      <c r="D40" s="180">
        <f t="shared" ref="D40:E40" si="30">D42+D45</f>
        <v>0</v>
      </c>
      <c r="E40" s="180">
        <f t="shared" si="30"/>
        <v>6017500</v>
      </c>
      <c r="F40" s="180">
        <f t="shared" ref="F40:G40" si="31">F42+F45</f>
        <v>490000</v>
      </c>
      <c r="G40" s="180">
        <f t="shared" si="31"/>
        <v>6507500</v>
      </c>
      <c r="H40" s="180">
        <f t="shared" ref="H40:K40" si="32">H42+H45</f>
        <v>5932100</v>
      </c>
      <c r="I40" s="180">
        <f t="shared" si="32"/>
        <v>0</v>
      </c>
      <c r="J40" s="180">
        <f t="shared" si="32"/>
        <v>5932100</v>
      </c>
      <c r="K40" s="180">
        <f t="shared" si="32"/>
        <v>5846480</v>
      </c>
      <c r="L40" s="180">
        <f t="shared" ref="L40:M40" si="33">L42+L45</f>
        <v>0</v>
      </c>
      <c r="M40" s="180">
        <f t="shared" si="33"/>
        <v>5846480</v>
      </c>
    </row>
    <row r="41" spans="1:14" ht="44.25" hidden="1" customHeight="1" x14ac:dyDescent="0.25">
      <c r="A41" s="197" t="s">
        <v>54</v>
      </c>
      <c r="B41" s="198" t="s">
        <v>55</v>
      </c>
      <c r="C41" s="199">
        <v>0</v>
      </c>
      <c r="D41" s="184">
        <v>0</v>
      </c>
      <c r="E41" s="184">
        <f>C41+D41</f>
        <v>0</v>
      </c>
      <c r="F41" s="184">
        <v>0</v>
      </c>
      <c r="G41" s="184">
        <f>E41+F41</f>
        <v>0</v>
      </c>
      <c r="H41" s="199">
        <v>0</v>
      </c>
      <c r="I41" s="184">
        <v>0</v>
      </c>
      <c r="J41" s="184">
        <f>H41+I41</f>
        <v>0</v>
      </c>
      <c r="K41" s="199">
        <v>0</v>
      </c>
      <c r="L41" s="184">
        <v>0</v>
      </c>
      <c r="M41" s="184">
        <f>K41+L41</f>
        <v>0</v>
      </c>
    </row>
    <row r="42" spans="1:14" ht="15.75" customHeight="1" x14ac:dyDescent="0.25">
      <c r="A42" s="178" t="s">
        <v>56</v>
      </c>
      <c r="B42" s="179" t="s">
        <v>57</v>
      </c>
      <c r="C42" s="180">
        <f>C43+C44</f>
        <v>686500</v>
      </c>
      <c r="D42" s="180">
        <f t="shared" ref="D42:E42" si="34">D43+D44</f>
        <v>0</v>
      </c>
      <c r="E42" s="180">
        <f t="shared" si="34"/>
        <v>686500</v>
      </c>
      <c r="F42" s="180">
        <f>F43+F44</f>
        <v>490000</v>
      </c>
      <c r="G42" s="180">
        <f t="shared" ref="G42" si="35">G43+G44</f>
        <v>1176500</v>
      </c>
      <c r="H42" s="180">
        <f>H43+H44</f>
        <v>686400</v>
      </c>
      <c r="I42" s="180">
        <f t="shared" ref="I42:J42" si="36">I43+I44</f>
        <v>0</v>
      </c>
      <c r="J42" s="180">
        <f t="shared" si="36"/>
        <v>686400</v>
      </c>
      <c r="K42" s="180">
        <f>K43+K44</f>
        <v>686100</v>
      </c>
      <c r="L42" s="180">
        <f t="shared" ref="L42:M42" si="37">L43+L44</f>
        <v>0</v>
      </c>
      <c r="M42" s="180">
        <f t="shared" si="37"/>
        <v>686100</v>
      </c>
    </row>
    <row r="43" spans="1:14" ht="30" customHeight="1" x14ac:dyDescent="0.25">
      <c r="A43" s="181" t="s">
        <v>58</v>
      </c>
      <c r="B43" s="189" t="s">
        <v>59</v>
      </c>
      <c r="C43" s="184">
        <v>660000</v>
      </c>
      <c r="D43" s="199">
        <v>0</v>
      </c>
      <c r="E43" s="199">
        <f>C43+D43</f>
        <v>660000</v>
      </c>
      <c r="F43" s="199">
        <v>490000</v>
      </c>
      <c r="G43" s="199">
        <f>E43+F43</f>
        <v>1150000</v>
      </c>
      <c r="H43" s="184">
        <v>660000</v>
      </c>
      <c r="I43" s="199">
        <v>0</v>
      </c>
      <c r="J43" s="199">
        <f>H43+I43</f>
        <v>660000</v>
      </c>
      <c r="K43" s="184">
        <v>660000</v>
      </c>
      <c r="L43" s="199">
        <v>0</v>
      </c>
      <c r="M43" s="199">
        <f>K43+L43</f>
        <v>660000</v>
      </c>
    </row>
    <row r="44" spans="1:14" ht="29.25" customHeight="1" x14ac:dyDescent="0.25">
      <c r="A44" s="181" t="s">
        <v>89</v>
      </c>
      <c r="B44" s="189" t="s">
        <v>88</v>
      </c>
      <c r="C44" s="184">
        <v>26500</v>
      </c>
      <c r="D44" s="199">
        <v>0</v>
      </c>
      <c r="E44" s="199">
        <f>C44+D44</f>
        <v>26500</v>
      </c>
      <c r="F44" s="199">
        <v>0</v>
      </c>
      <c r="G44" s="199">
        <f>E44+F44</f>
        <v>26500</v>
      </c>
      <c r="H44" s="184">
        <v>26400</v>
      </c>
      <c r="I44" s="199">
        <v>0</v>
      </c>
      <c r="J44" s="199">
        <f>H44+I44</f>
        <v>26400</v>
      </c>
      <c r="K44" s="184">
        <v>26100</v>
      </c>
      <c r="L44" s="199">
        <v>0</v>
      </c>
      <c r="M44" s="199">
        <f>K44+L44</f>
        <v>26100</v>
      </c>
    </row>
    <row r="45" spans="1:14" ht="28.5" customHeight="1" x14ac:dyDescent="0.25">
      <c r="A45" s="178" t="s">
        <v>98</v>
      </c>
      <c r="B45" s="200" t="s">
        <v>96</v>
      </c>
      <c r="C45" s="180">
        <f t="shared" ref="C45:L45" si="38">C46</f>
        <v>5331000</v>
      </c>
      <c r="D45" s="180">
        <f t="shared" si="38"/>
        <v>0</v>
      </c>
      <c r="E45" s="180">
        <f>E46</f>
        <v>5331000</v>
      </c>
      <c r="F45" s="180">
        <f>F46</f>
        <v>0</v>
      </c>
      <c r="G45" s="180">
        <f>G46</f>
        <v>5331000</v>
      </c>
      <c r="H45" s="180">
        <f t="shared" si="38"/>
        <v>5245700</v>
      </c>
      <c r="I45" s="180">
        <f t="shared" si="38"/>
        <v>0</v>
      </c>
      <c r="J45" s="180">
        <f>J46</f>
        <v>5245700</v>
      </c>
      <c r="K45" s="180">
        <f t="shared" si="38"/>
        <v>5160380</v>
      </c>
      <c r="L45" s="180">
        <f t="shared" si="38"/>
        <v>0</v>
      </c>
      <c r="M45" s="180">
        <f>M46</f>
        <v>5160380</v>
      </c>
    </row>
    <row r="46" spans="1:14" ht="29.25" customHeight="1" x14ac:dyDescent="0.25">
      <c r="A46" s="181" t="s">
        <v>97</v>
      </c>
      <c r="B46" s="189" t="s">
        <v>96</v>
      </c>
      <c r="C46" s="199">
        <v>5331000</v>
      </c>
      <c r="D46" s="184">
        <v>0</v>
      </c>
      <c r="E46" s="184">
        <f>D46+C46</f>
        <v>5331000</v>
      </c>
      <c r="F46" s="184">
        <v>0</v>
      </c>
      <c r="G46" s="184">
        <f>F46+E46</f>
        <v>5331000</v>
      </c>
      <c r="H46" s="199">
        <v>5245700</v>
      </c>
      <c r="I46" s="184">
        <v>0</v>
      </c>
      <c r="J46" s="184">
        <f>I46+H46</f>
        <v>5245700</v>
      </c>
      <c r="K46" s="199">
        <v>5160380</v>
      </c>
      <c r="L46" s="184">
        <v>0</v>
      </c>
      <c r="M46" s="184">
        <f>L46+K46</f>
        <v>5160380</v>
      </c>
    </row>
    <row r="47" spans="1:14" x14ac:dyDescent="0.25">
      <c r="A47" s="201" t="s">
        <v>60</v>
      </c>
      <c r="B47" s="202" t="s">
        <v>61</v>
      </c>
      <c r="C47" s="180">
        <f>C48+C49</f>
        <v>324000</v>
      </c>
      <c r="D47" s="180">
        <f t="shared" ref="D47:M47" si="39">D48+D49</f>
        <v>0</v>
      </c>
      <c r="E47" s="180">
        <f t="shared" si="39"/>
        <v>324000</v>
      </c>
      <c r="F47" s="180">
        <f>F48+F49</f>
        <v>72900</v>
      </c>
      <c r="G47" s="180">
        <f t="shared" si="39"/>
        <v>396900</v>
      </c>
      <c r="H47" s="180">
        <f t="shared" si="39"/>
        <v>336000</v>
      </c>
      <c r="I47" s="180">
        <f t="shared" si="39"/>
        <v>0</v>
      </c>
      <c r="J47" s="180">
        <f t="shared" si="39"/>
        <v>336000</v>
      </c>
      <c r="K47" s="180">
        <f t="shared" si="39"/>
        <v>347000</v>
      </c>
      <c r="L47" s="180">
        <f t="shared" si="39"/>
        <v>0</v>
      </c>
      <c r="M47" s="180">
        <f t="shared" si="39"/>
        <v>347000</v>
      </c>
    </row>
    <row r="48" spans="1:14" ht="30.75" customHeight="1" x14ac:dyDescent="0.25">
      <c r="A48" s="203" t="s">
        <v>62</v>
      </c>
      <c r="B48" s="187" t="s">
        <v>63</v>
      </c>
      <c r="C48" s="199">
        <v>324000</v>
      </c>
      <c r="D48" s="199">
        <v>0</v>
      </c>
      <c r="E48" s="199">
        <f>C48+D48</f>
        <v>324000</v>
      </c>
      <c r="F48" s="199">
        <v>0</v>
      </c>
      <c r="G48" s="199">
        <f>E48+F48</f>
        <v>324000</v>
      </c>
      <c r="H48" s="199">
        <v>336000</v>
      </c>
      <c r="I48" s="199">
        <v>0</v>
      </c>
      <c r="J48" s="199">
        <f>H48+I48</f>
        <v>336000</v>
      </c>
      <c r="K48" s="199">
        <v>347000</v>
      </c>
      <c r="L48" s="199">
        <v>0</v>
      </c>
      <c r="M48" s="199">
        <f>K48+L48</f>
        <v>347000</v>
      </c>
    </row>
    <row r="49" spans="1:15" ht="29.25" customHeight="1" x14ac:dyDescent="0.25">
      <c r="A49" s="203" t="s">
        <v>99</v>
      </c>
      <c r="B49" s="187" t="s">
        <v>95</v>
      </c>
      <c r="C49" s="199">
        <v>0</v>
      </c>
      <c r="D49" s="199">
        <v>0</v>
      </c>
      <c r="E49" s="199">
        <f>D49</f>
        <v>0</v>
      </c>
      <c r="F49" s="199">
        <v>72900</v>
      </c>
      <c r="G49" s="199">
        <f>F49</f>
        <v>72900</v>
      </c>
      <c r="H49" s="199">
        <v>0</v>
      </c>
      <c r="I49" s="199">
        <v>0</v>
      </c>
      <c r="J49" s="199">
        <f>I49</f>
        <v>0</v>
      </c>
      <c r="K49" s="199">
        <v>0</v>
      </c>
      <c r="L49" s="199">
        <v>0</v>
      </c>
      <c r="M49" s="199">
        <f>L49</f>
        <v>0</v>
      </c>
    </row>
    <row r="50" spans="1:15" ht="14.25" customHeight="1" x14ac:dyDescent="0.25">
      <c r="A50" s="201" t="s">
        <v>90</v>
      </c>
      <c r="B50" s="204" t="s">
        <v>91</v>
      </c>
      <c r="C50" s="180">
        <f>C51+C52+C53</f>
        <v>0</v>
      </c>
      <c r="D50" s="180">
        <f>D51+D52+D53</f>
        <v>2214910</v>
      </c>
      <c r="E50" s="180">
        <f t="shared" ref="E50:K50" si="40">E51+E52+E53</f>
        <v>2214910</v>
      </c>
      <c r="F50" s="180">
        <f>F51+F52+F53</f>
        <v>0</v>
      </c>
      <c r="G50" s="180">
        <f t="shared" ref="G50" si="41">G51+G52+G53</f>
        <v>2214910</v>
      </c>
      <c r="H50" s="180">
        <f t="shared" si="40"/>
        <v>0</v>
      </c>
      <c r="I50" s="180">
        <f>I51+I52+I53</f>
        <v>0</v>
      </c>
      <c r="J50" s="180">
        <f t="shared" ref="J50" si="42">J51+J52+J53</f>
        <v>0</v>
      </c>
      <c r="K50" s="180">
        <f t="shared" si="40"/>
        <v>0</v>
      </c>
      <c r="L50" s="180">
        <f>L51+L52+L53</f>
        <v>0</v>
      </c>
      <c r="M50" s="180">
        <f t="shared" ref="M50" si="43">M51+M52+M53</f>
        <v>0</v>
      </c>
    </row>
    <row r="51" spans="1:15" ht="18" customHeight="1" x14ac:dyDescent="0.25">
      <c r="A51" s="205" t="s">
        <v>94</v>
      </c>
      <c r="B51" s="206" t="s">
        <v>93</v>
      </c>
      <c r="C51" s="199">
        <v>0</v>
      </c>
      <c r="D51" s="199">
        <v>2015400</v>
      </c>
      <c r="E51" s="199">
        <f>C51+D51</f>
        <v>2015400</v>
      </c>
      <c r="F51" s="199">
        <v>0</v>
      </c>
      <c r="G51" s="199">
        <f>E51+F51</f>
        <v>2015400</v>
      </c>
      <c r="H51" s="199">
        <v>0</v>
      </c>
      <c r="I51" s="199">
        <v>0</v>
      </c>
      <c r="J51" s="199">
        <f>H51+I51</f>
        <v>0</v>
      </c>
      <c r="K51" s="199">
        <v>0</v>
      </c>
      <c r="L51" s="199">
        <v>0</v>
      </c>
      <c r="M51" s="199">
        <f>K51+L51</f>
        <v>0</v>
      </c>
    </row>
    <row r="52" spans="1:15" ht="30" x14ac:dyDescent="0.25">
      <c r="A52" s="205" t="s">
        <v>100</v>
      </c>
      <c r="B52" s="206" t="s">
        <v>92</v>
      </c>
      <c r="C52" s="199">
        <v>0</v>
      </c>
      <c r="D52" s="183">
        <v>199510</v>
      </c>
      <c r="E52" s="199">
        <f>D52</f>
        <v>199510</v>
      </c>
      <c r="F52" s="183">
        <v>0</v>
      </c>
      <c r="G52" s="199">
        <f>E52+F52</f>
        <v>199510</v>
      </c>
      <c r="H52" s="199">
        <v>0</v>
      </c>
      <c r="I52" s="183">
        <v>0</v>
      </c>
      <c r="J52" s="199">
        <f>H52+I52</f>
        <v>0</v>
      </c>
      <c r="K52" s="199">
        <v>0</v>
      </c>
      <c r="L52" s="183">
        <v>0</v>
      </c>
      <c r="M52" s="199">
        <f>K52+L52</f>
        <v>0</v>
      </c>
    </row>
    <row r="53" spans="1:15" ht="18.75" hidden="1" customHeight="1" outlineLevel="1" x14ac:dyDescent="0.25">
      <c r="A53" s="207"/>
      <c r="B53" s="208"/>
      <c r="C53" s="199"/>
      <c r="D53" s="183"/>
      <c r="E53" s="199"/>
      <c r="F53" s="183"/>
      <c r="G53" s="199"/>
      <c r="H53" s="199"/>
      <c r="I53" s="183"/>
      <c r="J53" s="199"/>
      <c r="K53" s="199"/>
      <c r="L53" s="183"/>
      <c r="M53" s="199"/>
    </row>
    <row r="54" spans="1:15" collapsed="1" x14ac:dyDescent="0.25">
      <c r="A54" s="209" t="s">
        <v>105</v>
      </c>
      <c r="B54" s="179" t="s">
        <v>64</v>
      </c>
      <c r="C54" s="180">
        <f>C55+C64+C68+C66</f>
        <v>114928836.60000001</v>
      </c>
      <c r="D54" s="180">
        <f>D55+D64+D68+D66</f>
        <v>326371822.03000003</v>
      </c>
      <c r="E54" s="180">
        <f>E55+E64+E68+E66</f>
        <v>441300658.63000005</v>
      </c>
      <c r="F54" s="180">
        <f>F55+F64+F68+F66</f>
        <v>24594528.720000006</v>
      </c>
      <c r="G54" s="180">
        <f>G55+G64+G68+G66</f>
        <v>465895187.34999996</v>
      </c>
      <c r="H54" s="180">
        <f t="shared" ref="H54:K54" si="44">H55+H64+H68</f>
        <v>660000</v>
      </c>
      <c r="I54" s="180">
        <f>I55+I64+I68+I66</f>
        <v>0</v>
      </c>
      <c r="J54" s="180">
        <f>J55+J64+J68+J66</f>
        <v>660000</v>
      </c>
      <c r="K54" s="180">
        <f t="shared" si="44"/>
        <v>0</v>
      </c>
      <c r="L54" s="180">
        <f>L55+L64+L68+L66</f>
        <v>0</v>
      </c>
      <c r="M54" s="180">
        <f>M55+M64+M68+M66</f>
        <v>0</v>
      </c>
    </row>
    <row r="55" spans="1:15" ht="30.6" customHeight="1" x14ac:dyDescent="0.25">
      <c r="A55" s="178" t="s">
        <v>65</v>
      </c>
      <c r="B55" s="179" t="s">
        <v>66</v>
      </c>
      <c r="C55" s="180">
        <f>C57+C59+C60+C56+C61+C58</f>
        <v>114508529.60000001</v>
      </c>
      <c r="D55" s="180">
        <f>D57+D59+D60+D56+D61+D58</f>
        <v>71721902.25</v>
      </c>
      <c r="E55" s="180">
        <f>E57+E59+E60+E56+E61+E58</f>
        <v>186230431.84999999</v>
      </c>
      <c r="F55" s="180">
        <f>F57+F59+F60+F56+F61+F58</f>
        <v>40872718.190000005</v>
      </c>
      <c r="G55" s="180">
        <f>G57+G59+G60+G56+G61+G58</f>
        <v>227103150.03999999</v>
      </c>
      <c r="H55" s="180">
        <f t="shared" ref="H55:K55" si="45">H57+H59+H60+H56+H61+H58</f>
        <v>660000</v>
      </c>
      <c r="I55" s="180">
        <f>I57+I59+I60+I56+I61+I58</f>
        <v>0</v>
      </c>
      <c r="J55" s="180">
        <f>J57+J59+J60+J56+J61+J58</f>
        <v>660000</v>
      </c>
      <c r="K55" s="180">
        <f t="shared" si="45"/>
        <v>0</v>
      </c>
      <c r="L55" s="180">
        <f>L57+L59+L60+L56+L61+L58</f>
        <v>0</v>
      </c>
      <c r="M55" s="180">
        <f>M57+M59+M60+M56+M61+M58</f>
        <v>0</v>
      </c>
    </row>
    <row r="56" spans="1:15" ht="16.5" hidden="1" customHeight="1" x14ac:dyDescent="0.25">
      <c r="A56" s="186"/>
      <c r="B56" s="210"/>
      <c r="C56" s="183">
        <v>0</v>
      </c>
      <c r="D56" s="199">
        <v>0</v>
      </c>
      <c r="E56" s="199">
        <f>C56+D56</f>
        <v>0</v>
      </c>
      <c r="F56" s="199">
        <v>0</v>
      </c>
      <c r="G56" s="199">
        <f>E56+F56</f>
        <v>0</v>
      </c>
      <c r="H56" s="199">
        <v>0</v>
      </c>
      <c r="I56" s="199">
        <v>0</v>
      </c>
      <c r="J56" s="199">
        <f>H56+I56</f>
        <v>0</v>
      </c>
      <c r="K56" s="199">
        <v>0</v>
      </c>
      <c r="L56" s="199">
        <v>0</v>
      </c>
      <c r="M56" s="199">
        <f>K56+L56</f>
        <v>0</v>
      </c>
    </row>
    <row r="57" spans="1:15" ht="28.5" customHeight="1" x14ac:dyDescent="0.25">
      <c r="A57" s="211" t="s">
        <v>67</v>
      </c>
      <c r="B57" s="212" t="s">
        <v>68</v>
      </c>
      <c r="C57" s="183">
        <v>0</v>
      </c>
      <c r="D57" s="199">
        <v>4567811.45</v>
      </c>
      <c r="E57" s="199">
        <f>D57+C57</f>
        <v>4567811.45</v>
      </c>
      <c r="F57" s="199">
        <v>0</v>
      </c>
      <c r="G57" s="199">
        <f>F57+E57</f>
        <v>4567811.45</v>
      </c>
      <c r="H57" s="213">
        <v>0</v>
      </c>
      <c r="I57" s="199">
        <v>0</v>
      </c>
      <c r="J57" s="199">
        <f>I57+H57</f>
        <v>0</v>
      </c>
      <c r="K57" s="213">
        <v>0</v>
      </c>
      <c r="L57" s="199">
        <v>0</v>
      </c>
      <c r="M57" s="199">
        <f>L57+K57</f>
        <v>0</v>
      </c>
    </row>
    <row r="58" spans="1:15" ht="18.75" customHeight="1" x14ac:dyDescent="0.25">
      <c r="A58" s="211" t="s">
        <v>86</v>
      </c>
      <c r="B58" s="212" t="s">
        <v>87</v>
      </c>
      <c r="C58" s="199">
        <v>0</v>
      </c>
      <c r="D58" s="183">
        <v>6000000</v>
      </c>
      <c r="E58" s="199">
        <f>D58+C58</f>
        <v>6000000</v>
      </c>
      <c r="F58" s="183">
        <v>0</v>
      </c>
      <c r="G58" s="199">
        <f>F58+E58</f>
        <v>6000000</v>
      </c>
      <c r="H58" s="213">
        <v>0</v>
      </c>
      <c r="I58" s="183">
        <v>0</v>
      </c>
      <c r="J58" s="199">
        <f>I58+H58</f>
        <v>0</v>
      </c>
      <c r="K58" s="213">
        <v>0</v>
      </c>
      <c r="L58" s="183">
        <v>0</v>
      </c>
      <c r="M58" s="199">
        <f>L58+K58</f>
        <v>0</v>
      </c>
    </row>
    <row r="59" spans="1:15" ht="75" customHeight="1" x14ac:dyDescent="0.25">
      <c r="A59" s="181" t="s">
        <v>116</v>
      </c>
      <c r="B59" s="189" t="s">
        <v>117</v>
      </c>
      <c r="C59" s="184">
        <v>0</v>
      </c>
      <c r="D59" s="184">
        <v>21000000</v>
      </c>
      <c r="E59" s="184">
        <f>D59+C59</f>
        <v>21000000</v>
      </c>
      <c r="F59" s="184">
        <v>-14000000</v>
      </c>
      <c r="G59" s="184">
        <f>F59+E59</f>
        <v>7000000</v>
      </c>
      <c r="H59" s="213">
        <v>0</v>
      </c>
      <c r="I59" s="184">
        <v>0</v>
      </c>
      <c r="J59" s="184">
        <f>I59+H59</f>
        <v>0</v>
      </c>
      <c r="K59" s="213">
        <v>0</v>
      </c>
      <c r="L59" s="184">
        <v>0</v>
      </c>
      <c r="M59" s="184">
        <f>L59+K59</f>
        <v>0</v>
      </c>
      <c r="N59" s="10" t="s">
        <v>119</v>
      </c>
    </row>
    <row r="60" spans="1:15" ht="15.75" customHeight="1" x14ac:dyDescent="0.25">
      <c r="A60" s="181" t="s">
        <v>84</v>
      </c>
      <c r="B60" s="189" t="s">
        <v>85</v>
      </c>
      <c r="C60" s="184">
        <v>113333711.87</v>
      </c>
      <c r="D60" s="183">
        <f>-2116625+556363.1+41714352.7</f>
        <v>40154090.800000004</v>
      </c>
      <c r="E60" s="184">
        <f>C60+D60</f>
        <v>153487802.67000002</v>
      </c>
      <c r="F60" s="183">
        <f>-170692.2+1000000+1151881.65+50000000+812903</f>
        <v>52794092.450000003</v>
      </c>
      <c r="G60" s="184">
        <f>E60+F60</f>
        <v>206281895.12</v>
      </c>
      <c r="H60" s="213">
        <v>660000</v>
      </c>
      <c r="I60" s="183">
        <v>0</v>
      </c>
      <c r="J60" s="184">
        <f>H60+I60</f>
        <v>660000</v>
      </c>
      <c r="K60" s="213">
        <v>0</v>
      </c>
      <c r="L60" s="183">
        <v>0</v>
      </c>
      <c r="M60" s="184">
        <f>K60+L60</f>
        <v>0</v>
      </c>
      <c r="O60" s="3"/>
    </row>
    <row r="61" spans="1:15" ht="28.5" customHeight="1" x14ac:dyDescent="0.25">
      <c r="A61" s="178" t="s">
        <v>70</v>
      </c>
      <c r="B61" s="179" t="s">
        <v>71</v>
      </c>
      <c r="C61" s="195">
        <f>C62+C63</f>
        <v>1174817.73</v>
      </c>
      <c r="D61" s="195">
        <f t="shared" ref="D61:M61" si="46">D62+D63</f>
        <v>0</v>
      </c>
      <c r="E61" s="195">
        <f t="shared" si="46"/>
        <v>1174817.73</v>
      </c>
      <c r="F61" s="195">
        <f t="shared" si="46"/>
        <v>2078625.7399999998</v>
      </c>
      <c r="G61" s="195">
        <f t="shared" si="46"/>
        <v>3253443.4699999997</v>
      </c>
      <c r="H61" s="195">
        <f t="shared" si="46"/>
        <v>0</v>
      </c>
      <c r="I61" s="195">
        <f t="shared" si="46"/>
        <v>0</v>
      </c>
      <c r="J61" s="195">
        <f t="shared" si="46"/>
        <v>0</v>
      </c>
      <c r="K61" s="195">
        <f t="shared" si="46"/>
        <v>0</v>
      </c>
      <c r="L61" s="195">
        <f t="shared" si="46"/>
        <v>0</v>
      </c>
      <c r="M61" s="195">
        <f t="shared" si="46"/>
        <v>0</v>
      </c>
      <c r="O61" s="3"/>
    </row>
    <row r="62" spans="1:15" ht="46.5" customHeight="1" x14ac:dyDescent="0.25">
      <c r="A62" s="181" t="s">
        <v>72</v>
      </c>
      <c r="B62" s="189" t="s">
        <v>73</v>
      </c>
      <c r="C62" s="184">
        <v>1174817.73</v>
      </c>
      <c r="D62" s="184">
        <v>0</v>
      </c>
      <c r="E62" s="184">
        <f>C62+D62</f>
        <v>1174817.73</v>
      </c>
      <c r="F62" s="184">
        <v>-1174817.73</v>
      </c>
      <c r="G62" s="184">
        <f>E62+F62</f>
        <v>0</v>
      </c>
      <c r="H62" s="213">
        <v>0</v>
      </c>
      <c r="I62" s="184">
        <v>0</v>
      </c>
      <c r="J62" s="184">
        <f>H62+I62</f>
        <v>0</v>
      </c>
      <c r="K62" s="213">
        <v>0</v>
      </c>
      <c r="L62" s="184">
        <v>0</v>
      </c>
      <c r="M62" s="184">
        <f>K62+L62</f>
        <v>0</v>
      </c>
    </row>
    <row r="63" spans="1:15" ht="75" x14ac:dyDescent="0.25">
      <c r="A63" s="181" t="s">
        <v>134</v>
      </c>
      <c r="B63" s="189" t="s">
        <v>133</v>
      </c>
      <c r="C63" s="184">
        <v>0</v>
      </c>
      <c r="D63" s="184">
        <v>0</v>
      </c>
      <c r="E63" s="184">
        <f>C63+D63</f>
        <v>0</v>
      </c>
      <c r="F63" s="184">
        <f>1174817.73+2078625.74</f>
        <v>3253443.4699999997</v>
      </c>
      <c r="G63" s="184">
        <f>E63+F63</f>
        <v>3253443.4699999997</v>
      </c>
      <c r="H63" s="213">
        <v>0</v>
      </c>
      <c r="I63" s="184">
        <v>0</v>
      </c>
      <c r="J63" s="184">
        <f>H63+I63</f>
        <v>0</v>
      </c>
      <c r="K63" s="213">
        <v>0</v>
      </c>
      <c r="L63" s="184">
        <v>0</v>
      </c>
      <c r="M63" s="184">
        <f>K63+L63</f>
        <v>0</v>
      </c>
    </row>
    <row r="64" spans="1:15" ht="21" customHeight="1" x14ac:dyDescent="0.25">
      <c r="A64" s="178" t="s">
        <v>74</v>
      </c>
      <c r="B64" s="179" t="s">
        <v>75</v>
      </c>
      <c r="C64" s="180">
        <f>C65</f>
        <v>0</v>
      </c>
      <c r="D64" s="180">
        <f t="shared" ref="D64:M64" si="47">D65</f>
        <v>229499600</v>
      </c>
      <c r="E64" s="180">
        <f t="shared" si="47"/>
        <v>229499600</v>
      </c>
      <c r="F64" s="180">
        <f>F65</f>
        <v>7300000</v>
      </c>
      <c r="G64" s="180">
        <f t="shared" si="47"/>
        <v>236799600</v>
      </c>
      <c r="H64" s="180">
        <f t="shared" ref="H64:K64" si="48">H65</f>
        <v>0</v>
      </c>
      <c r="I64" s="180">
        <f t="shared" si="47"/>
        <v>0</v>
      </c>
      <c r="J64" s="180">
        <f t="shared" si="47"/>
        <v>0</v>
      </c>
      <c r="K64" s="180">
        <f t="shared" si="48"/>
        <v>0</v>
      </c>
      <c r="L64" s="180">
        <f t="shared" si="47"/>
        <v>0</v>
      </c>
      <c r="M64" s="180">
        <f t="shared" si="47"/>
        <v>0</v>
      </c>
    </row>
    <row r="65" spans="1:14" ht="30" x14ac:dyDescent="0.25">
      <c r="A65" s="186" t="s">
        <v>76</v>
      </c>
      <c r="B65" s="182" t="s">
        <v>77</v>
      </c>
      <c r="C65" s="183">
        <v>0</v>
      </c>
      <c r="D65" s="199">
        <f>229500000-400</f>
        <v>229499600</v>
      </c>
      <c r="E65" s="184">
        <f>C65+D65</f>
        <v>229499600</v>
      </c>
      <c r="F65" s="199">
        <f>6300000+1000000</f>
        <v>7300000</v>
      </c>
      <c r="G65" s="184">
        <f>E65+F65</f>
        <v>236799600</v>
      </c>
      <c r="H65" s="213">
        <v>0</v>
      </c>
      <c r="I65" s="199">
        <v>0</v>
      </c>
      <c r="J65" s="184">
        <f>H65+I65</f>
        <v>0</v>
      </c>
      <c r="K65" s="213">
        <v>0</v>
      </c>
      <c r="L65" s="199">
        <v>0</v>
      </c>
      <c r="M65" s="184">
        <f>K65+L65</f>
        <v>0</v>
      </c>
      <c r="N65" s="10" t="s">
        <v>120</v>
      </c>
    </row>
    <row r="66" spans="1:14" ht="76.5" x14ac:dyDescent="0.25">
      <c r="A66" s="214" t="s">
        <v>78</v>
      </c>
      <c r="B66" s="215" t="s">
        <v>79</v>
      </c>
      <c r="C66" s="180">
        <f>C67</f>
        <v>420307</v>
      </c>
      <c r="D66" s="180">
        <f>D67</f>
        <v>26952063.809999999</v>
      </c>
      <c r="E66" s="180">
        <f t="shared" ref="E66:G66" si="49">E67</f>
        <v>27372370.809999999</v>
      </c>
      <c r="F66" s="180">
        <f>F67</f>
        <v>-24279436.93</v>
      </c>
      <c r="G66" s="180">
        <f t="shared" si="49"/>
        <v>3092933.879999999</v>
      </c>
      <c r="H66" s="180">
        <f t="shared" ref="H66:K66" si="50">H67</f>
        <v>0</v>
      </c>
      <c r="I66" s="180">
        <f>I67</f>
        <v>0</v>
      </c>
      <c r="J66" s="180">
        <f t="shared" ref="J66" si="51">J67</f>
        <v>0</v>
      </c>
      <c r="K66" s="180">
        <f t="shared" si="50"/>
        <v>0</v>
      </c>
      <c r="L66" s="180">
        <f>L67</f>
        <v>0</v>
      </c>
      <c r="M66" s="180">
        <f t="shared" ref="M66" si="52">M67</f>
        <v>0</v>
      </c>
    </row>
    <row r="67" spans="1:14" ht="27.75" customHeight="1" x14ac:dyDescent="0.25">
      <c r="A67" s="211" t="s">
        <v>102</v>
      </c>
      <c r="B67" s="212" t="s">
        <v>103</v>
      </c>
      <c r="C67" s="199">
        <v>420307</v>
      </c>
      <c r="D67" s="183">
        <v>26952063.809999999</v>
      </c>
      <c r="E67" s="184">
        <f>C67+D67</f>
        <v>27372370.809999999</v>
      </c>
      <c r="F67" s="183">
        <v>-24279436.93</v>
      </c>
      <c r="G67" s="184">
        <f>E67+F67</f>
        <v>3092933.879999999</v>
      </c>
      <c r="H67" s="213">
        <v>0</v>
      </c>
      <c r="I67" s="183">
        <v>0</v>
      </c>
      <c r="J67" s="184">
        <f>H67+I67</f>
        <v>0</v>
      </c>
      <c r="K67" s="213">
        <v>0</v>
      </c>
      <c r="L67" s="183">
        <v>0</v>
      </c>
      <c r="M67" s="184">
        <f>K67+L67</f>
        <v>0</v>
      </c>
      <c r="N67" s="10" t="s">
        <v>119</v>
      </c>
    </row>
    <row r="68" spans="1:14" ht="38.25" x14ac:dyDescent="0.25">
      <c r="A68" s="216" t="s">
        <v>80</v>
      </c>
      <c r="B68" s="217" t="s">
        <v>81</v>
      </c>
      <c r="C68" s="180">
        <f>C69</f>
        <v>0</v>
      </c>
      <c r="D68" s="180">
        <f t="shared" ref="D68:M68" si="53">D69</f>
        <v>-1801744.03</v>
      </c>
      <c r="E68" s="180">
        <f t="shared" si="53"/>
        <v>-1801744.03</v>
      </c>
      <c r="F68" s="180">
        <f>F69</f>
        <v>701247.46</v>
      </c>
      <c r="G68" s="180">
        <f t="shared" si="53"/>
        <v>-1100496.57</v>
      </c>
      <c r="H68" s="180">
        <f t="shared" ref="H68:K68" si="54">H69</f>
        <v>0</v>
      </c>
      <c r="I68" s="180">
        <f t="shared" si="53"/>
        <v>0</v>
      </c>
      <c r="J68" s="180">
        <f t="shared" si="53"/>
        <v>0</v>
      </c>
      <c r="K68" s="180">
        <f t="shared" si="54"/>
        <v>0</v>
      </c>
      <c r="L68" s="180">
        <f t="shared" si="53"/>
        <v>0</v>
      </c>
      <c r="M68" s="180">
        <f t="shared" si="53"/>
        <v>0</v>
      </c>
    </row>
    <row r="69" spans="1:14" ht="45" customHeight="1" x14ac:dyDescent="0.25">
      <c r="A69" s="211" t="s">
        <v>82</v>
      </c>
      <c r="B69" s="212" t="s">
        <v>83</v>
      </c>
      <c r="C69" s="199">
        <v>0</v>
      </c>
      <c r="D69" s="199">
        <f>-841136.29-51412.86-197490.67-701247.46-10456.75</f>
        <v>-1801744.03</v>
      </c>
      <c r="E69" s="184">
        <f>C69+D69</f>
        <v>-1801744.03</v>
      </c>
      <c r="F69" s="199">
        <v>701247.46</v>
      </c>
      <c r="G69" s="184">
        <f>E69+F69</f>
        <v>-1100496.57</v>
      </c>
      <c r="H69" s="213">
        <v>0</v>
      </c>
      <c r="I69" s="199">
        <v>0</v>
      </c>
      <c r="J69" s="184">
        <f>H69+I69</f>
        <v>0</v>
      </c>
      <c r="K69" s="213">
        <v>0</v>
      </c>
      <c r="L69" s="199">
        <v>0</v>
      </c>
      <c r="M69" s="184">
        <f>K69+L69</f>
        <v>0</v>
      </c>
      <c r="N69" s="10" t="s">
        <v>120</v>
      </c>
    </row>
    <row r="70" spans="1:14" ht="15.75" customHeight="1" x14ac:dyDescent="0.25">
      <c r="A70" s="220" t="s">
        <v>69</v>
      </c>
      <c r="B70" s="221"/>
      <c r="C70" s="180">
        <f t="shared" ref="C70:M70" si="55">C5+C54</f>
        <v>593076430.83000004</v>
      </c>
      <c r="D70" s="180">
        <f t="shared" si="55"/>
        <v>347548991.11000001</v>
      </c>
      <c r="E70" s="180">
        <f t="shared" si="55"/>
        <v>940625421.94000006</v>
      </c>
      <c r="F70" s="180">
        <f>F5+F54</f>
        <v>33597289.950000003</v>
      </c>
      <c r="G70" s="180">
        <f t="shared" si="55"/>
        <v>974222711.88999987</v>
      </c>
      <c r="H70" s="180">
        <f t="shared" si="55"/>
        <v>500874812.72000003</v>
      </c>
      <c r="I70" s="180">
        <f t="shared" ref="I70:J70" si="56">I5+I54</f>
        <v>0</v>
      </c>
      <c r="J70" s="180">
        <f t="shared" si="56"/>
        <v>500874812.72000003</v>
      </c>
      <c r="K70" s="180">
        <f t="shared" si="55"/>
        <v>516414142.72000003</v>
      </c>
      <c r="L70" s="180">
        <f t="shared" si="55"/>
        <v>0</v>
      </c>
      <c r="M70" s="180">
        <f t="shared" si="55"/>
        <v>516414142.72000003</v>
      </c>
    </row>
    <row r="71" spans="1:14" ht="18.75" customHeight="1" x14ac:dyDescent="0.25">
      <c r="A71" s="4"/>
      <c r="B71" s="4"/>
      <c r="C71" s="5"/>
      <c r="D71" s="5"/>
      <c r="E71" s="5"/>
      <c r="F71" s="5"/>
      <c r="G71" s="5"/>
      <c r="H71" s="5"/>
      <c r="I71" s="5"/>
      <c r="J71" s="5"/>
      <c r="K71" s="6"/>
      <c r="L71" s="5"/>
      <c r="M71" s="5"/>
    </row>
    <row r="73" spans="1:14" x14ac:dyDescent="0.25">
      <c r="D73" s="3"/>
    </row>
    <row r="77" spans="1:14" s="169" customFormat="1" ht="14.25" x14ac:dyDescent="0.2">
      <c r="B77" s="169" t="s">
        <v>429</v>
      </c>
      <c r="D77" s="170"/>
      <c r="G77" s="171">
        <v>241813052.94</v>
      </c>
      <c r="H77" s="171"/>
      <c r="N77" s="170"/>
    </row>
    <row r="78" spans="1:14" s="169" customFormat="1" ht="14.25" x14ac:dyDescent="0.2">
      <c r="G78" s="171"/>
      <c r="H78" s="171"/>
      <c r="N78" s="170"/>
    </row>
    <row r="79" spans="1:14" s="169" customFormat="1" ht="14.25" x14ac:dyDescent="0.2">
      <c r="G79" s="171"/>
      <c r="H79" s="171"/>
      <c r="N79" s="170"/>
    </row>
    <row r="80" spans="1:14" s="169" customFormat="1" ht="14.25" x14ac:dyDescent="0.2">
      <c r="D80" s="171"/>
      <c r="G80" s="171"/>
      <c r="H80" s="171"/>
      <c r="N80" s="170"/>
    </row>
    <row r="81" spans="4:14" s="169" customFormat="1" ht="14.25" x14ac:dyDescent="0.2">
      <c r="D81" s="171"/>
      <c r="G81" s="171"/>
      <c r="H81" s="171"/>
      <c r="N81" s="170"/>
    </row>
    <row r="82" spans="4:14" s="169" customFormat="1" ht="14.25" x14ac:dyDescent="0.2">
      <c r="N82" s="170"/>
    </row>
    <row r="84" spans="4:14" x14ac:dyDescent="0.25">
      <c r="D84" s="3"/>
    </row>
    <row r="87" spans="4:14" x14ac:dyDescent="0.25">
      <c r="D87" s="3"/>
    </row>
  </sheetData>
  <mergeCells count="3">
    <mergeCell ref="A70:B70"/>
    <mergeCell ref="A1:M1"/>
    <mergeCell ref="A2:M2"/>
  </mergeCells>
  <pageMargins left="0.51181102362204722" right="0" top="0.35433070866141736" bottom="0.35433070866141736" header="0.31496062992125984" footer="0.31496062992125984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5"/>
  <sheetViews>
    <sheetView tabSelected="1" view="pageBreakPreview" zoomScale="90" zoomScaleNormal="100" zoomScaleSheetLayoutView="90" workbookViewId="0">
      <pane xSplit="3" ySplit="5" topLeftCell="D75" activePane="bottomRight" state="frozen"/>
      <selection pane="topRight" activeCell="D1" sqref="D1"/>
      <selection pane="bottomLeft" activeCell="A6" sqref="A6"/>
      <selection pane="bottomRight" activeCell="A3" sqref="A3:N3"/>
    </sheetView>
  </sheetViews>
  <sheetFormatPr defaultRowHeight="15" outlineLevelRow="1" outlineLevelCol="1" x14ac:dyDescent="0.25"/>
  <cols>
    <col min="1" max="1" width="93.85546875" style="93" customWidth="1"/>
    <col min="2" max="2" width="15.140625" style="93" customWidth="1"/>
    <col min="3" max="3" width="7.5703125" style="93" customWidth="1"/>
    <col min="4" max="5" width="14.7109375" style="93" hidden="1" customWidth="1" outlineLevel="1"/>
    <col min="6" max="6" width="14.7109375" style="93" customWidth="1" collapsed="1"/>
    <col min="7" max="7" width="14.7109375" style="93" customWidth="1"/>
    <col min="8" max="8" width="17.28515625" style="93" bestFit="1" customWidth="1"/>
    <col min="9" max="9" width="14.5703125" style="93" customWidth="1"/>
    <col min="10" max="11" width="14.7109375" style="93" customWidth="1"/>
    <col min="12" max="12" width="15.42578125" style="93" bestFit="1" customWidth="1"/>
    <col min="13" max="14" width="14.7109375" style="93" customWidth="1"/>
    <col min="15" max="16384" width="9.140625" style="93"/>
  </cols>
  <sheetData>
    <row r="1" spans="1:14" x14ac:dyDescent="0.25">
      <c r="A1" s="93" t="s">
        <v>0</v>
      </c>
    </row>
    <row r="2" spans="1:14" ht="57" customHeight="1" x14ac:dyDescent="0.25">
      <c r="A2" s="224" t="s">
        <v>433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 ht="43.5" customHeight="1" x14ac:dyDescent="0.25">
      <c r="A3" s="225" t="s">
        <v>386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ht="13.7" customHeight="1" x14ac:dyDescent="0.25">
      <c r="A4" s="226" t="s">
        <v>104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ht="28.9" customHeight="1" x14ac:dyDescent="0.25">
      <c r="A5" s="79" t="s">
        <v>2</v>
      </c>
      <c r="B5" s="79" t="s">
        <v>138</v>
      </c>
      <c r="C5" s="79" t="s">
        <v>139</v>
      </c>
      <c r="D5" s="79">
        <v>2023</v>
      </c>
      <c r="E5" s="16" t="s">
        <v>107</v>
      </c>
      <c r="F5" s="17">
        <v>2023</v>
      </c>
      <c r="G5" s="16" t="s">
        <v>107</v>
      </c>
      <c r="H5" s="17" t="s">
        <v>109</v>
      </c>
      <c r="I5" s="79">
        <v>2024</v>
      </c>
      <c r="J5" s="16" t="s">
        <v>107</v>
      </c>
      <c r="K5" s="17" t="s">
        <v>129</v>
      </c>
      <c r="L5" s="79">
        <v>2025</v>
      </c>
      <c r="M5" s="17" t="s">
        <v>107</v>
      </c>
      <c r="N5" s="18" t="s">
        <v>130</v>
      </c>
    </row>
    <row r="6" spans="1:14" ht="13.15" customHeight="1" x14ac:dyDescent="0.25">
      <c r="A6" s="80" t="s">
        <v>140</v>
      </c>
      <c r="B6" s="79" t="s">
        <v>0</v>
      </c>
      <c r="C6" s="79" t="s">
        <v>0</v>
      </c>
      <c r="D6" s="74">
        <f>D7+D11+D15+D25+D42+D46+D56+D84+D117+D125+D132+D149+D154+D121</f>
        <v>407468005.32316899</v>
      </c>
      <c r="E6" s="74">
        <f>E7+E11+E15+E25+E42+E46+E56+E84+E117+E125+E132+E149+E154+E121</f>
        <v>549575424.27999997</v>
      </c>
      <c r="F6" s="74">
        <f>F7+F11+F15+F25+F42+F46+F56+F84+F117+F125+F132+F149+F154+F121</f>
        <v>957043429.60316885</v>
      </c>
      <c r="G6" s="74">
        <f>G7+G11+G15+G25+G42+G46+G56+G84+G117+G125+G132+G149+G154+G121</f>
        <v>28916929.359999996</v>
      </c>
      <c r="H6" s="74">
        <f>H7+H11+H15+H25+H42+H46+H56+H84+H117+H125+H132+H149+H154+H121</f>
        <v>985960358.96316862</v>
      </c>
      <c r="I6" s="74">
        <f>I7+I11+I15+I25+I42+I46+I56+I84+I117+I125+I132+I149+I154</f>
        <v>285889589.31517863</v>
      </c>
      <c r="J6" s="74">
        <f>J7+J11+J15+J25+J42+J46+J56+J84+J117+J125+J132+J149+J154+J121</f>
        <v>2000000</v>
      </c>
      <c r="K6" s="74">
        <f>K7+K11+K15+K25+K42+K46+K56+K84+K117+K125+K132+K149+K154+K121</f>
        <v>287889589.31517863</v>
      </c>
      <c r="L6" s="74">
        <f>L7+L11+L15+L25+L42+L46+L56+L84+L117+L125+L132+L149+L154</f>
        <v>295983172.47740918</v>
      </c>
      <c r="M6" s="74">
        <f>M7+M11+M15+M25+M42+M46+M56+M84+M117+M125+M132+M149+M154+M121</f>
        <v>2000000</v>
      </c>
      <c r="N6" s="86">
        <f>N7+N11+N15+N25+N42+N46+N56+N84+N117+N125+N132+N149+N154+N121</f>
        <v>297983172.47740918</v>
      </c>
    </row>
    <row r="7" spans="1:14" ht="14.45" customHeight="1" x14ac:dyDescent="0.25">
      <c r="A7" s="87" t="s">
        <v>326</v>
      </c>
      <c r="B7" s="31" t="s">
        <v>327</v>
      </c>
      <c r="C7" s="31" t="s">
        <v>0</v>
      </c>
      <c r="D7" s="42">
        <f t="shared" ref="D7:N9" si="0">D8</f>
        <v>23593802.059999999</v>
      </c>
      <c r="E7" s="42">
        <f t="shared" si="0"/>
        <v>179000</v>
      </c>
      <c r="F7" s="42">
        <f t="shared" si="0"/>
        <v>23772802.059999999</v>
      </c>
      <c r="G7" s="42">
        <f t="shared" si="0"/>
        <v>0</v>
      </c>
      <c r="H7" s="42">
        <f t="shared" si="0"/>
        <v>23772802.059999999</v>
      </c>
      <c r="I7" s="33">
        <f t="shared" si="0"/>
        <v>23475918.469999999</v>
      </c>
      <c r="J7" s="42">
        <f t="shared" si="0"/>
        <v>0</v>
      </c>
      <c r="K7" s="42">
        <f t="shared" si="0"/>
        <v>23475918.469999999</v>
      </c>
      <c r="L7" s="33">
        <f t="shared" si="0"/>
        <v>23410030.870000001</v>
      </c>
      <c r="M7" s="42">
        <f t="shared" si="0"/>
        <v>0</v>
      </c>
      <c r="N7" s="42">
        <f t="shared" si="0"/>
        <v>23410030.870000001</v>
      </c>
    </row>
    <row r="8" spans="1:14" x14ac:dyDescent="0.25">
      <c r="A8" s="60" t="s">
        <v>313</v>
      </c>
      <c r="B8" s="31" t="s">
        <v>328</v>
      </c>
      <c r="C8" s="31"/>
      <c r="D8" s="33">
        <f t="shared" si="0"/>
        <v>23593802.059999999</v>
      </c>
      <c r="E8" s="33">
        <f t="shared" si="0"/>
        <v>179000</v>
      </c>
      <c r="F8" s="33">
        <f t="shared" si="0"/>
        <v>23772802.059999999</v>
      </c>
      <c r="G8" s="33">
        <f t="shared" si="0"/>
        <v>0</v>
      </c>
      <c r="H8" s="33">
        <f t="shared" si="0"/>
        <v>23772802.059999999</v>
      </c>
      <c r="I8" s="33">
        <f t="shared" si="0"/>
        <v>23475918.469999999</v>
      </c>
      <c r="J8" s="33">
        <f t="shared" si="0"/>
        <v>0</v>
      </c>
      <c r="K8" s="33">
        <f t="shared" si="0"/>
        <v>23475918.469999999</v>
      </c>
      <c r="L8" s="33">
        <f t="shared" si="0"/>
        <v>23410030.870000001</v>
      </c>
      <c r="M8" s="33">
        <f t="shared" si="0"/>
        <v>0</v>
      </c>
      <c r="N8" s="33">
        <f t="shared" si="0"/>
        <v>23410030.870000001</v>
      </c>
    </row>
    <row r="9" spans="1:14" x14ac:dyDescent="0.25">
      <c r="A9" s="48" t="s">
        <v>315</v>
      </c>
      <c r="B9" s="35" t="s">
        <v>329</v>
      </c>
      <c r="C9" s="35" t="s">
        <v>0</v>
      </c>
      <c r="D9" s="37">
        <f t="shared" si="0"/>
        <v>23593802.059999999</v>
      </c>
      <c r="E9" s="37">
        <f t="shared" si="0"/>
        <v>179000</v>
      </c>
      <c r="F9" s="37">
        <f t="shared" si="0"/>
        <v>23772802.059999999</v>
      </c>
      <c r="G9" s="37">
        <f t="shared" si="0"/>
        <v>0</v>
      </c>
      <c r="H9" s="37">
        <f t="shared" si="0"/>
        <v>23772802.059999999</v>
      </c>
      <c r="I9" s="37">
        <f t="shared" si="0"/>
        <v>23475918.469999999</v>
      </c>
      <c r="J9" s="37">
        <f t="shared" si="0"/>
        <v>0</v>
      </c>
      <c r="K9" s="37">
        <f t="shared" si="0"/>
        <v>23475918.469999999</v>
      </c>
      <c r="L9" s="37">
        <f t="shared" si="0"/>
        <v>23410030.870000001</v>
      </c>
      <c r="M9" s="37">
        <f t="shared" si="0"/>
        <v>0</v>
      </c>
      <c r="N9" s="37">
        <f t="shared" si="0"/>
        <v>23410030.870000001</v>
      </c>
    </row>
    <row r="10" spans="1:14" ht="14.45" customHeight="1" x14ac:dyDescent="0.25">
      <c r="A10" s="105" t="s">
        <v>305</v>
      </c>
      <c r="B10" s="49" t="s">
        <v>329</v>
      </c>
      <c r="C10" s="98">
        <v>600</v>
      </c>
      <c r="D10" s="103">
        <v>23593802.059999999</v>
      </c>
      <c r="E10" s="103">
        <v>179000</v>
      </c>
      <c r="F10" s="103">
        <f>D10+E10</f>
        <v>23772802.059999999</v>
      </c>
      <c r="G10" s="103">
        <v>0</v>
      </c>
      <c r="H10" s="103">
        <f>F10+G10</f>
        <v>23772802.059999999</v>
      </c>
      <c r="I10" s="103">
        <v>23475918.469999999</v>
      </c>
      <c r="J10" s="103">
        <v>0</v>
      </c>
      <c r="K10" s="103">
        <f>I10+J10</f>
        <v>23475918.469999999</v>
      </c>
      <c r="L10" s="103">
        <v>23410030.870000001</v>
      </c>
      <c r="M10" s="103">
        <v>0</v>
      </c>
      <c r="N10" s="103">
        <f>L10+M10</f>
        <v>23410030.870000001</v>
      </c>
    </row>
    <row r="11" spans="1:14" x14ac:dyDescent="0.25">
      <c r="A11" s="87" t="s">
        <v>320</v>
      </c>
      <c r="B11" s="31" t="s">
        <v>321</v>
      </c>
      <c r="C11" s="32" t="s">
        <v>0</v>
      </c>
      <c r="D11" s="42">
        <f t="shared" ref="D11:N13" si="1">D12</f>
        <v>2892385.27</v>
      </c>
      <c r="E11" s="42">
        <f t="shared" si="1"/>
        <v>0</v>
      </c>
      <c r="F11" s="42">
        <f t="shared" si="1"/>
        <v>2892385.27</v>
      </c>
      <c r="G11" s="42">
        <f t="shared" si="1"/>
        <v>0</v>
      </c>
      <c r="H11" s="42">
        <f t="shared" si="1"/>
        <v>2892385.27</v>
      </c>
      <c r="I11" s="33">
        <f t="shared" si="1"/>
        <v>2971636.55</v>
      </c>
      <c r="J11" s="42">
        <f t="shared" si="1"/>
        <v>0</v>
      </c>
      <c r="K11" s="42">
        <f t="shared" si="1"/>
        <v>2971636.55</v>
      </c>
      <c r="L11" s="33">
        <f t="shared" si="1"/>
        <v>3119538.44</v>
      </c>
      <c r="M11" s="42">
        <f t="shared" si="1"/>
        <v>0</v>
      </c>
      <c r="N11" s="42">
        <f t="shared" si="1"/>
        <v>3119538.44</v>
      </c>
    </row>
    <row r="12" spans="1:14" x14ac:dyDescent="0.25">
      <c r="A12" s="60" t="s">
        <v>313</v>
      </c>
      <c r="B12" s="31" t="s">
        <v>322</v>
      </c>
      <c r="C12" s="32"/>
      <c r="D12" s="42">
        <f t="shared" si="1"/>
        <v>2892385.27</v>
      </c>
      <c r="E12" s="42">
        <f t="shared" si="1"/>
        <v>0</v>
      </c>
      <c r="F12" s="42">
        <f t="shared" si="1"/>
        <v>2892385.27</v>
      </c>
      <c r="G12" s="42">
        <f t="shared" si="1"/>
        <v>0</v>
      </c>
      <c r="H12" s="42">
        <f t="shared" si="1"/>
        <v>2892385.27</v>
      </c>
      <c r="I12" s="33">
        <f t="shared" si="1"/>
        <v>2971636.55</v>
      </c>
      <c r="J12" s="42">
        <f t="shared" si="1"/>
        <v>0</v>
      </c>
      <c r="K12" s="42">
        <f t="shared" si="1"/>
        <v>2971636.55</v>
      </c>
      <c r="L12" s="33">
        <f t="shared" si="1"/>
        <v>3119538.44</v>
      </c>
      <c r="M12" s="42">
        <f t="shared" si="1"/>
        <v>0</v>
      </c>
      <c r="N12" s="42">
        <f t="shared" si="1"/>
        <v>3119538.44</v>
      </c>
    </row>
    <row r="13" spans="1:14" x14ac:dyDescent="0.25">
      <c r="A13" s="48" t="s">
        <v>315</v>
      </c>
      <c r="B13" s="35" t="s">
        <v>323</v>
      </c>
      <c r="C13" s="36" t="s">
        <v>0</v>
      </c>
      <c r="D13" s="43">
        <f t="shared" si="1"/>
        <v>2892385.27</v>
      </c>
      <c r="E13" s="43">
        <f t="shared" si="1"/>
        <v>0</v>
      </c>
      <c r="F13" s="43">
        <f t="shared" si="1"/>
        <v>2892385.27</v>
      </c>
      <c r="G13" s="43">
        <f t="shared" si="1"/>
        <v>0</v>
      </c>
      <c r="H13" s="43">
        <f t="shared" si="1"/>
        <v>2892385.27</v>
      </c>
      <c r="I13" s="37">
        <f t="shared" si="1"/>
        <v>2971636.55</v>
      </c>
      <c r="J13" s="43">
        <f t="shared" si="1"/>
        <v>0</v>
      </c>
      <c r="K13" s="43">
        <f t="shared" si="1"/>
        <v>2971636.55</v>
      </c>
      <c r="L13" s="37">
        <f t="shared" si="1"/>
        <v>3119538.44</v>
      </c>
      <c r="M13" s="43">
        <f t="shared" si="1"/>
        <v>0</v>
      </c>
      <c r="N13" s="43">
        <f t="shared" si="1"/>
        <v>3119538.44</v>
      </c>
    </row>
    <row r="14" spans="1:14" ht="14.45" customHeight="1" x14ac:dyDescent="0.25">
      <c r="A14" s="105" t="s">
        <v>305</v>
      </c>
      <c r="B14" s="49" t="s">
        <v>323</v>
      </c>
      <c r="C14" s="98">
        <v>600</v>
      </c>
      <c r="D14" s="103">
        <v>2892385.27</v>
      </c>
      <c r="E14" s="103">
        <v>0</v>
      </c>
      <c r="F14" s="103">
        <f>D14+E14</f>
        <v>2892385.27</v>
      </c>
      <c r="G14" s="103">
        <v>0</v>
      </c>
      <c r="H14" s="103">
        <f>F14+G14</f>
        <v>2892385.27</v>
      </c>
      <c r="I14" s="103">
        <v>2971636.55</v>
      </c>
      <c r="J14" s="103">
        <v>0</v>
      </c>
      <c r="K14" s="103">
        <f>I14+J14</f>
        <v>2971636.55</v>
      </c>
      <c r="L14" s="103">
        <v>3119538.44</v>
      </c>
      <c r="M14" s="103">
        <v>0</v>
      </c>
      <c r="N14" s="103">
        <f>L14+M14</f>
        <v>3119538.44</v>
      </c>
    </row>
    <row r="15" spans="1:14" ht="14.45" customHeight="1" x14ac:dyDescent="0.25">
      <c r="A15" s="88" t="s">
        <v>223</v>
      </c>
      <c r="B15" s="55" t="s">
        <v>224</v>
      </c>
      <c r="C15" s="56"/>
      <c r="D15" s="42">
        <f t="shared" ref="D15:N15" si="2">D16</f>
        <v>1901382.2000000002</v>
      </c>
      <c r="E15" s="42">
        <f t="shared" si="2"/>
        <v>77798.100000000006</v>
      </c>
      <c r="F15" s="42">
        <f t="shared" si="2"/>
        <v>1979180.3</v>
      </c>
      <c r="G15" s="42">
        <f t="shared" si="2"/>
        <v>-510518.9</v>
      </c>
      <c r="H15" s="42">
        <f t="shared" si="2"/>
        <v>1468661.4</v>
      </c>
      <c r="I15" s="42">
        <f t="shared" si="2"/>
        <v>1901382.2000000002</v>
      </c>
      <c r="J15" s="42">
        <f t="shared" si="2"/>
        <v>0</v>
      </c>
      <c r="K15" s="42">
        <f t="shared" si="2"/>
        <v>1901382.2000000002</v>
      </c>
      <c r="L15" s="42">
        <f t="shared" si="2"/>
        <v>1206382.2000000002</v>
      </c>
      <c r="M15" s="42">
        <f t="shared" si="2"/>
        <v>0</v>
      </c>
      <c r="N15" s="42">
        <f t="shared" si="2"/>
        <v>1206382.2000000002</v>
      </c>
    </row>
    <row r="16" spans="1:14" ht="14.45" customHeight="1" x14ac:dyDescent="0.25">
      <c r="A16" s="53" t="s">
        <v>165</v>
      </c>
      <c r="B16" s="55" t="s">
        <v>225</v>
      </c>
      <c r="C16" s="56"/>
      <c r="D16" s="42">
        <f t="shared" ref="D16:N16" si="3">D17+D19+D22</f>
        <v>1901382.2000000002</v>
      </c>
      <c r="E16" s="42">
        <f t="shared" si="3"/>
        <v>77798.100000000006</v>
      </c>
      <c r="F16" s="42">
        <f t="shared" si="3"/>
        <v>1979180.3</v>
      </c>
      <c r="G16" s="42">
        <f t="shared" si="3"/>
        <v>-510518.9</v>
      </c>
      <c r="H16" s="42">
        <f t="shared" si="3"/>
        <v>1468661.4</v>
      </c>
      <c r="I16" s="42">
        <f t="shared" si="3"/>
        <v>1901382.2000000002</v>
      </c>
      <c r="J16" s="42">
        <f t="shared" si="3"/>
        <v>0</v>
      </c>
      <c r="K16" s="42">
        <f t="shared" si="3"/>
        <v>1901382.2000000002</v>
      </c>
      <c r="L16" s="42">
        <f t="shared" si="3"/>
        <v>1206382.2000000002</v>
      </c>
      <c r="M16" s="42">
        <f t="shared" si="3"/>
        <v>0</v>
      </c>
      <c r="N16" s="42">
        <f t="shared" si="3"/>
        <v>1206382.2000000002</v>
      </c>
    </row>
    <row r="17" spans="1:14" ht="14.45" customHeight="1" x14ac:dyDescent="0.25">
      <c r="A17" s="57" t="s">
        <v>226</v>
      </c>
      <c r="B17" s="46" t="s">
        <v>227</v>
      </c>
      <c r="C17" s="56"/>
      <c r="D17" s="43">
        <f t="shared" ref="D17:N17" si="4">D18</f>
        <v>695000</v>
      </c>
      <c r="E17" s="43">
        <f t="shared" si="4"/>
        <v>41000</v>
      </c>
      <c r="F17" s="43">
        <f t="shared" si="4"/>
        <v>736000</v>
      </c>
      <c r="G17" s="43">
        <f t="shared" si="4"/>
        <v>0</v>
      </c>
      <c r="H17" s="43">
        <f t="shared" si="4"/>
        <v>736000</v>
      </c>
      <c r="I17" s="43">
        <f t="shared" si="4"/>
        <v>695000</v>
      </c>
      <c r="J17" s="43">
        <f t="shared" si="4"/>
        <v>0</v>
      </c>
      <c r="K17" s="43">
        <f t="shared" si="4"/>
        <v>695000</v>
      </c>
      <c r="L17" s="43">
        <f t="shared" si="4"/>
        <v>0</v>
      </c>
      <c r="M17" s="43">
        <f t="shared" si="4"/>
        <v>0</v>
      </c>
      <c r="N17" s="43">
        <f t="shared" si="4"/>
        <v>0</v>
      </c>
    </row>
    <row r="18" spans="1:14" ht="14.45" customHeight="1" x14ac:dyDescent="0.25">
      <c r="A18" s="96" t="s">
        <v>153</v>
      </c>
      <c r="B18" s="47" t="s">
        <v>227</v>
      </c>
      <c r="C18" s="56">
        <v>200</v>
      </c>
      <c r="D18" s="51">
        <v>695000</v>
      </c>
      <c r="E18" s="51">
        <v>41000</v>
      </c>
      <c r="F18" s="103">
        <f>D18+E18</f>
        <v>736000</v>
      </c>
      <c r="G18" s="51">
        <v>0</v>
      </c>
      <c r="H18" s="103">
        <f>F18+G18</f>
        <v>736000</v>
      </c>
      <c r="I18" s="51">
        <v>695000</v>
      </c>
      <c r="J18" s="51">
        <v>0</v>
      </c>
      <c r="K18" s="103">
        <f>I18+J18</f>
        <v>695000</v>
      </c>
      <c r="L18" s="51">
        <v>0</v>
      </c>
      <c r="M18" s="51">
        <v>0</v>
      </c>
      <c r="N18" s="103">
        <f>L18+M18</f>
        <v>0</v>
      </c>
    </row>
    <row r="19" spans="1:14" ht="14.45" customHeight="1" x14ac:dyDescent="0.25">
      <c r="A19" s="57" t="s">
        <v>228</v>
      </c>
      <c r="B19" s="46" t="s">
        <v>229</v>
      </c>
      <c r="C19" s="56"/>
      <c r="D19" s="43">
        <f>D20+D21</f>
        <v>829479.20000000007</v>
      </c>
      <c r="E19" s="43">
        <f>E20+E21</f>
        <v>36798.1</v>
      </c>
      <c r="F19" s="43">
        <f t="shared" ref="F19:H19" si="5">F20+F21</f>
        <v>866277.3</v>
      </c>
      <c r="G19" s="43">
        <f>G20+G21</f>
        <v>-250655.9</v>
      </c>
      <c r="H19" s="43">
        <f t="shared" si="5"/>
        <v>615621.4</v>
      </c>
      <c r="I19" s="43">
        <v>829479.20000000007</v>
      </c>
      <c r="J19" s="43">
        <f>J20+J21</f>
        <v>0</v>
      </c>
      <c r="K19" s="43">
        <f t="shared" ref="K19" si="6">K20+K21</f>
        <v>829479.20000000007</v>
      </c>
      <c r="L19" s="43">
        <v>829479.20000000007</v>
      </c>
      <c r="M19" s="43">
        <f>M20+M21</f>
        <v>0</v>
      </c>
      <c r="N19" s="43">
        <f t="shared" ref="N19" si="7">N20+N21</f>
        <v>829479.20000000007</v>
      </c>
    </row>
    <row r="20" spans="1:14" ht="14.45" customHeight="1" x14ac:dyDescent="0.25">
      <c r="A20" s="96" t="s">
        <v>153</v>
      </c>
      <c r="B20" s="47" t="s">
        <v>229</v>
      </c>
      <c r="C20" s="56">
        <v>200</v>
      </c>
      <c r="D20" s="51">
        <v>729458.28</v>
      </c>
      <c r="E20" s="51">
        <v>36798.1</v>
      </c>
      <c r="F20" s="103">
        <f>D20+E20</f>
        <v>766256.38</v>
      </c>
      <c r="G20" s="51">
        <f>'По разделам 4'!I92</f>
        <v>-217500</v>
      </c>
      <c r="H20" s="103">
        <f>F20+G20</f>
        <v>548756.38</v>
      </c>
      <c r="I20" s="51">
        <v>729458.28</v>
      </c>
      <c r="J20" s="51">
        <v>0</v>
      </c>
      <c r="K20" s="103">
        <f>I20+J20</f>
        <v>729458.28</v>
      </c>
      <c r="L20" s="51">
        <v>729458.28</v>
      </c>
      <c r="M20" s="51">
        <v>0</v>
      </c>
      <c r="N20" s="103">
        <f>L20+M20</f>
        <v>729458.28</v>
      </c>
    </row>
    <row r="21" spans="1:14" ht="14.45" customHeight="1" x14ac:dyDescent="0.25">
      <c r="A21" s="52" t="s">
        <v>220</v>
      </c>
      <c r="B21" s="47" t="s">
        <v>229</v>
      </c>
      <c r="C21" s="56">
        <v>300</v>
      </c>
      <c r="D21" s="51">
        <v>100020.92</v>
      </c>
      <c r="E21" s="51">
        <v>0</v>
      </c>
      <c r="F21" s="103">
        <f>D21+E21</f>
        <v>100020.92</v>
      </c>
      <c r="G21" s="51">
        <f>'По разделам 4'!I93</f>
        <v>-33155.9</v>
      </c>
      <c r="H21" s="103">
        <f>F21+G21</f>
        <v>66865.01999999999</v>
      </c>
      <c r="I21" s="51">
        <v>100020.92</v>
      </c>
      <c r="J21" s="51">
        <v>0</v>
      </c>
      <c r="K21" s="103">
        <f>I21+J21</f>
        <v>100020.92</v>
      </c>
      <c r="L21" s="51">
        <v>100020.92</v>
      </c>
      <c r="M21" s="51">
        <v>0</v>
      </c>
      <c r="N21" s="103">
        <f>L21+M21</f>
        <v>100020.92</v>
      </c>
    </row>
    <row r="22" spans="1:14" ht="14.45" customHeight="1" x14ac:dyDescent="0.25">
      <c r="A22" s="57" t="s">
        <v>230</v>
      </c>
      <c r="B22" s="46" t="s">
        <v>231</v>
      </c>
      <c r="C22" s="59"/>
      <c r="D22" s="43">
        <f>D23+D24</f>
        <v>376903</v>
      </c>
      <c r="E22" s="43">
        <f t="shared" ref="E22:N22" si="8">E23+E24</f>
        <v>0</v>
      </c>
      <c r="F22" s="43">
        <f t="shared" si="8"/>
        <v>376903</v>
      </c>
      <c r="G22" s="43">
        <f t="shared" si="8"/>
        <v>-259863</v>
      </c>
      <c r="H22" s="43">
        <f t="shared" si="8"/>
        <v>117040</v>
      </c>
      <c r="I22" s="43">
        <f t="shared" si="8"/>
        <v>376903</v>
      </c>
      <c r="J22" s="43">
        <f t="shared" si="8"/>
        <v>0</v>
      </c>
      <c r="K22" s="43">
        <f t="shared" si="8"/>
        <v>376903</v>
      </c>
      <c r="L22" s="43">
        <f t="shared" si="8"/>
        <v>376903</v>
      </c>
      <c r="M22" s="43">
        <f t="shared" si="8"/>
        <v>0</v>
      </c>
      <c r="N22" s="43">
        <f t="shared" si="8"/>
        <v>376903</v>
      </c>
    </row>
    <row r="23" spans="1:14" ht="14.45" customHeight="1" x14ac:dyDescent="0.25">
      <c r="A23" s="96" t="s">
        <v>151</v>
      </c>
      <c r="B23" s="47" t="s">
        <v>231</v>
      </c>
      <c r="C23" s="56">
        <v>100</v>
      </c>
      <c r="D23" s="51">
        <v>0</v>
      </c>
      <c r="E23" s="51">
        <v>0</v>
      </c>
      <c r="F23" s="103">
        <f>D23+E23</f>
        <v>0</v>
      </c>
      <c r="G23" s="51">
        <f>'По разделам 4'!I95</f>
        <v>117040</v>
      </c>
      <c r="H23" s="103">
        <f>F23+G23</f>
        <v>117040</v>
      </c>
      <c r="I23" s="51">
        <v>0</v>
      </c>
      <c r="J23" s="51">
        <v>0</v>
      </c>
      <c r="K23" s="103">
        <f>I23+J23</f>
        <v>0</v>
      </c>
      <c r="L23" s="51">
        <v>0</v>
      </c>
      <c r="M23" s="51">
        <v>0</v>
      </c>
      <c r="N23" s="103">
        <f>L23+M23</f>
        <v>0</v>
      </c>
    </row>
    <row r="24" spans="1:14" ht="14.45" customHeight="1" x14ac:dyDescent="0.25">
      <c r="A24" s="96" t="s">
        <v>153</v>
      </c>
      <c r="B24" s="47" t="s">
        <v>231</v>
      </c>
      <c r="C24" s="56">
        <v>200</v>
      </c>
      <c r="D24" s="51">
        <v>376903</v>
      </c>
      <c r="E24" s="51">
        <v>0</v>
      </c>
      <c r="F24" s="103">
        <f>D24+E24</f>
        <v>376903</v>
      </c>
      <c r="G24" s="51">
        <f>'По разделам 4'!I96</f>
        <v>-376903</v>
      </c>
      <c r="H24" s="103">
        <f>F24+G24</f>
        <v>0</v>
      </c>
      <c r="I24" s="51">
        <v>376903</v>
      </c>
      <c r="J24" s="51">
        <v>0</v>
      </c>
      <c r="K24" s="103">
        <f>I24+J24</f>
        <v>376903</v>
      </c>
      <c r="L24" s="51">
        <v>376903</v>
      </c>
      <c r="M24" s="51">
        <v>0</v>
      </c>
      <c r="N24" s="103">
        <f>L24+M24</f>
        <v>376903</v>
      </c>
    </row>
    <row r="25" spans="1:14" ht="14.45" customHeight="1" x14ac:dyDescent="0.25">
      <c r="A25" s="87" t="s">
        <v>333</v>
      </c>
      <c r="B25" s="32" t="s">
        <v>346</v>
      </c>
      <c r="C25" s="31" t="s">
        <v>0</v>
      </c>
      <c r="D25" s="42">
        <f t="shared" ref="D25:N25" si="9">D26+D35</f>
        <v>18049047</v>
      </c>
      <c r="E25" s="42">
        <f t="shared" si="9"/>
        <v>-617025</v>
      </c>
      <c r="F25" s="42">
        <f t="shared" si="9"/>
        <v>17432022</v>
      </c>
      <c r="G25" s="42">
        <f t="shared" si="9"/>
        <v>0</v>
      </c>
      <c r="H25" s="42">
        <f t="shared" si="9"/>
        <v>17432022</v>
      </c>
      <c r="I25" s="42">
        <f t="shared" si="9"/>
        <v>6811122</v>
      </c>
      <c r="J25" s="42">
        <f t="shared" si="9"/>
        <v>0</v>
      </c>
      <c r="K25" s="42">
        <f t="shared" si="9"/>
        <v>6811122</v>
      </c>
      <c r="L25" s="42">
        <f t="shared" si="9"/>
        <v>6811122</v>
      </c>
      <c r="M25" s="42">
        <f t="shared" si="9"/>
        <v>0</v>
      </c>
      <c r="N25" s="42">
        <f t="shared" si="9"/>
        <v>6811122</v>
      </c>
    </row>
    <row r="26" spans="1:14" ht="14.45" customHeight="1" x14ac:dyDescent="0.25">
      <c r="A26" s="30" t="s">
        <v>165</v>
      </c>
      <c r="B26" s="32" t="s">
        <v>347</v>
      </c>
      <c r="C26" s="31"/>
      <c r="D26" s="42">
        <f t="shared" ref="D26:N26" si="10">D27+D29+D32</f>
        <v>3739600</v>
      </c>
      <c r="E26" s="42">
        <f t="shared" si="10"/>
        <v>1499600</v>
      </c>
      <c r="F26" s="42">
        <f t="shared" si="10"/>
        <v>5239200</v>
      </c>
      <c r="G26" s="42">
        <f t="shared" si="10"/>
        <v>0</v>
      </c>
      <c r="H26" s="42">
        <f t="shared" si="10"/>
        <v>5239200</v>
      </c>
      <c r="I26" s="42">
        <f t="shared" si="10"/>
        <v>2139600</v>
      </c>
      <c r="J26" s="42">
        <f t="shared" si="10"/>
        <v>0</v>
      </c>
      <c r="K26" s="42">
        <f t="shared" si="10"/>
        <v>2139600</v>
      </c>
      <c r="L26" s="42">
        <f t="shared" si="10"/>
        <v>2139600</v>
      </c>
      <c r="M26" s="42">
        <f t="shared" si="10"/>
        <v>0</v>
      </c>
      <c r="N26" s="42">
        <f t="shared" si="10"/>
        <v>2139600</v>
      </c>
    </row>
    <row r="27" spans="1:14" ht="14.45" customHeight="1" x14ac:dyDescent="0.25">
      <c r="A27" s="34" t="s">
        <v>348</v>
      </c>
      <c r="B27" s="36" t="s">
        <v>349</v>
      </c>
      <c r="C27" s="35"/>
      <c r="D27" s="43">
        <f t="shared" ref="D27:N27" si="11">D28</f>
        <v>1600000</v>
      </c>
      <c r="E27" s="43">
        <f t="shared" si="11"/>
        <v>0</v>
      </c>
      <c r="F27" s="43">
        <f t="shared" si="11"/>
        <v>1600000</v>
      </c>
      <c r="G27" s="43">
        <f t="shared" si="11"/>
        <v>0</v>
      </c>
      <c r="H27" s="43">
        <f t="shared" si="11"/>
        <v>1600000</v>
      </c>
      <c r="I27" s="43">
        <f t="shared" si="11"/>
        <v>0</v>
      </c>
      <c r="J27" s="43">
        <f t="shared" si="11"/>
        <v>0</v>
      </c>
      <c r="K27" s="43">
        <f t="shared" si="11"/>
        <v>0</v>
      </c>
      <c r="L27" s="43">
        <f t="shared" si="11"/>
        <v>0</v>
      </c>
      <c r="M27" s="43">
        <f t="shared" si="11"/>
        <v>0</v>
      </c>
      <c r="N27" s="43">
        <f t="shared" si="11"/>
        <v>0</v>
      </c>
    </row>
    <row r="28" spans="1:14" ht="14.45" customHeight="1" x14ac:dyDescent="0.25">
      <c r="A28" s="30" t="s">
        <v>297</v>
      </c>
      <c r="B28" s="50" t="s">
        <v>349</v>
      </c>
      <c r="C28" s="49">
        <v>600</v>
      </c>
      <c r="D28" s="51">
        <v>1600000</v>
      </c>
      <c r="E28" s="51">
        <v>0</v>
      </c>
      <c r="F28" s="103">
        <f>D28+E28</f>
        <v>1600000</v>
      </c>
      <c r="G28" s="51">
        <v>0</v>
      </c>
      <c r="H28" s="103">
        <f>F28+G28</f>
        <v>1600000</v>
      </c>
      <c r="I28" s="51">
        <v>0</v>
      </c>
      <c r="J28" s="51">
        <v>0</v>
      </c>
      <c r="K28" s="103">
        <f>I28+J28</f>
        <v>0</v>
      </c>
      <c r="L28" s="51">
        <v>0</v>
      </c>
      <c r="M28" s="51">
        <v>0</v>
      </c>
      <c r="N28" s="103">
        <f>L28+M28</f>
        <v>0</v>
      </c>
    </row>
    <row r="29" spans="1:14" ht="14.45" customHeight="1" x14ac:dyDescent="0.25">
      <c r="A29" s="34" t="s">
        <v>350</v>
      </c>
      <c r="B29" s="36" t="s">
        <v>351</v>
      </c>
      <c r="C29" s="35" t="s">
        <v>0</v>
      </c>
      <c r="D29" s="43">
        <f t="shared" ref="D29:N29" si="12">D30+D31</f>
        <v>1048500</v>
      </c>
      <c r="E29" s="43">
        <f t="shared" si="12"/>
        <v>1499600</v>
      </c>
      <c r="F29" s="43">
        <f t="shared" si="12"/>
        <v>2548100</v>
      </c>
      <c r="G29" s="43">
        <f t="shared" si="12"/>
        <v>0</v>
      </c>
      <c r="H29" s="43">
        <f t="shared" si="12"/>
        <v>2548100</v>
      </c>
      <c r="I29" s="43">
        <f t="shared" si="12"/>
        <v>1048500</v>
      </c>
      <c r="J29" s="43">
        <f t="shared" si="12"/>
        <v>0</v>
      </c>
      <c r="K29" s="43">
        <f t="shared" si="12"/>
        <v>1048500</v>
      </c>
      <c r="L29" s="43">
        <f t="shared" si="12"/>
        <v>1048500</v>
      </c>
      <c r="M29" s="43">
        <f t="shared" si="12"/>
        <v>0</v>
      </c>
      <c r="N29" s="43">
        <f t="shared" si="12"/>
        <v>1048500</v>
      </c>
    </row>
    <row r="30" spans="1:14" ht="14.45" customHeight="1" x14ac:dyDescent="0.25">
      <c r="A30" s="96" t="s">
        <v>153</v>
      </c>
      <c r="B30" s="98" t="s">
        <v>351</v>
      </c>
      <c r="C30" s="97" t="s">
        <v>158</v>
      </c>
      <c r="D30" s="103">
        <v>297000</v>
      </c>
      <c r="E30" s="103">
        <v>0</v>
      </c>
      <c r="F30" s="103">
        <f>D30+E30</f>
        <v>297000</v>
      </c>
      <c r="G30" s="103">
        <v>0</v>
      </c>
      <c r="H30" s="103">
        <f>F30+G30</f>
        <v>297000</v>
      </c>
      <c r="I30" s="103">
        <v>297000</v>
      </c>
      <c r="J30" s="103">
        <v>0</v>
      </c>
      <c r="K30" s="103">
        <f>I30+J30</f>
        <v>297000</v>
      </c>
      <c r="L30" s="103">
        <v>297000</v>
      </c>
      <c r="M30" s="103">
        <v>0</v>
      </c>
      <c r="N30" s="103">
        <f>L30+M30</f>
        <v>297000</v>
      </c>
    </row>
    <row r="31" spans="1:14" ht="14.45" customHeight="1" x14ac:dyDescent="0.25">
      <c r="A31" s="96" t="s">
        <v>209</v>
      </c>
      <c r="B31" s="98" t="s">
        <v>351</v>
      </c>
      <c r="C31" s="97">
        <v>300</v>
      </c>
      <c r="D31" s="103">
        <v>751500</v>
      </c>
      <c r="E31" s="103">
        <f>1500000-400</f>
        <v>1499600</v>
      </c>
      <c r="F31" s="103">
        <f>D31+E31</f>
        <v>2251100</v>
      </c>
      <c r="G31" s="103">
        <v>0</v>
      </c>
      <c r="H31" s="103">
        <f>F31+G31</f>
        <v>2251100</v>
      </c>
      <c r="I31" s="103">
        <v>751500</v>
      </c>
      <c r="J31" s="103">
        <v>0</v>
      </c>
      <c r="K31" s="103">
        <f>I31+J31</f>
        <v>751500</v>
      </c>
      <c r="L31" s="103">
        <v>751500</v>
      </c>
      <c r="M31" s="103">
        <v>0</v>
      </c>
      <c r="N31" s="103">
        <f>L31+M31</f>
        <v>751500</v>
      </c>
    </row>
    <row r="32" spans="1:14" ht="14.45" customHeight="1" x14ac:dyDescent="0.25">
      <c r="A32" s="34" t="s">
        <v>352</v>
      </c>
      <c r="B32" s="36" t="s">
        <v>353</v>
      </c>
      <c r="C32" s="35"/>
      <c r="D32" s="43">
        <f t="shared" ref="D32:N32" si="13">D33+D34</f>
        <v>1091100</v>
      </c>
      <c r="E32" s="43">
        <f t="shared" si="13"/>
        <v>0</v>
      </c>
      <c r="F32" s="43">
        <f t="shared" si="13"/>
        <v>1091100</v>
      </c>
      <c r="G32" s="43">
        <f t="shared" si="13"/>
        <v>0</v>
      </c>
      <c r="H32" s="43">
        <f t="shared" si="13"/>
        <v>1091100</v>
      </c>
      <c r="I32" s="43">
        <f t="shared" si="13"/>
        <v>1091100</v>
      </c>
      <c r="J32" s="43">
        <f t="shared" si="13"/>
        <v>0</v>
      </c>
      <c r="K32" s="43">
        <f t="shared" si="13"/>
        <v>1091100</v>
      </c>
      <c r="L32" s="43">
        <f t="shared" si="13"/>
        <v>1091100</v>
      </c>
      <c r="M32" s="43">
        <f t="shared" si="13"/>
        <v>0</v>
      </c>
      <c r="N32" s="43">
        <f t="shared" si="13"/>
        <v>1091100</v>
      </c>
    </row>
    <row r="33" spans="1:14" ht="14.45" customHeight="1" x14ac:dyDescent="0.25">
      <c r="A33" s="96" t="s">
        <v>153</v>
      </c>
      <c r="B33" s="98" t="s">
        <v>353</v>
      </c>
      <c r="C33" s="97">
        <v>200</v>
      </c>
      <c r="D33" s="103">
        <v>376100</v>
      </c>
      <c r="E33" s="103">
        <v>0</v>
      </c>
      <c r="F33" s="103">
        <f>D33+E33</f>
        <v>376100</v>
      </c>
      <c r="G33" s="103">
        <v>0</v>
      </c>
      <c r="H33" s="103">
        <f>F33+G33</f>
        <v>376100</v>
      </c>
      <c r="I33" s="103">
        <v>376100</v>
      </c>
      <c r="J33" s="103">
        <v>0</v>
      </c>
      <c r="K33" s="103">
        <f>I33+J33</f>
        <v>376100</v>
      </c>
      <c r="L33" s="103">
        <v>376100</v>
      </c>
      <c r="M33" s="103">
        <v>0</v>
      </c>
      <c r="N33" s="103">
        <f>L33+M33</f>
        <v>376100</v>
      </c>
    </row>
    <row r="34" spans="1:14" ht="14.45" customHeight="1" x14ac:dyDescent="0.25">
      <c r="A34" s="96" t="s">
        <v>209</v>
      </c>
      <c r="B34" s="98" t="s">
        <v>353</v>
      </c>
      <c r="C34" s="97">
        <v>300</v>
      </c>
      <c r="D34" s="103">
        <v>715000</v>
      </c>
      <c r="E34" s="103">
        <v>0</v>
      </c>
      <c r="F34" s="103">
        <f>D34+E34</f>
        <v>715000</v>
      </c>
      <c r="G34" s="103">
        <v>0</v>
      </c>
      <c r="H34" s="103">
        <f>F34+G34</f>
        <v>715000</v>
      </c>
      <c r="I34" s="103">
        <v>715000</v>
      </c>
      <c r="J34" s="103">
        <v>0</v>
      </c>
      <c r="K34" s="103">
        <f>I34+J34</f>
        <v>715000</v>
      </c>
      <c r="L34" s="103">
        <v>715000</v>
      </c>
      <c r="M34" s="103">
        <v>0</v>
      </c>
      <c r="N34" s="103">
        <f>L34+M34</f>
        <v>715000</v>
      </c>
    </row>
    <row r="35" spans="1:14" ht="14.45" customHeight="1" x14ac:dyDescent="0.25">
      <c r="A35" s="30" t="s">
        <v>313</v>
      </c>
      <c r="B35" s="32" t="s">
        <v>335</v>
      </c>
      <c r="C35" s="31"/>
      <c r="D35" s="42">
        <f>D36+D38</f>
        <v>14309447</v>
      </c>
      <c r="E35" s="42">
        <f>E36+E38</f>
        <v>-2116625</v>
      </c>
      <c r="F35" s="42">
        <f>F36+F38</f>
        <v>12192822</v>
      </c>
      <c r="G35" s="42">
        <f>G36+G38</f>
        <v>0</v>
      </c>
      <c r="H35" s="42">
        <f>H36+H38</f>
        <v>12192822</v>
      </c>
      <c r="I35" s="42">
        <f t="shared" ref="I35:L35" si="14">I36+I38</f>
        <v>4671522</v>
      </c>
      <c r="J35" s="42">
        <f>J36+J38</f>
        <v>0</v>
      </c>
      <c r="K35" s="42">
        <f>K36+K38</f>
        <v>4671522</v>
      </c>
      <c r="L35" s="42">
        <f t="shared" si="14"/>
        <v>4671522</v>
      </c>
      <c r="M35" s="42">
        <f>M36+M38</f>
        <v>0</v>
      </c>
      <c r="N35" s="42">
        <f>N36+N38</f>
        <v>4671522</v>
      </c>
    </row>
    <row r="36" spans="1:14" ht="14.45" customHeight="1" x14ac:dyDescent="0.25">
      <c r="A36" s="34" t="s">
        <v>336</v>
      </c>
      <c r="B36" s="36" t="s">
        <v>337</v>
      </c>
      <c r="C36" s="31"/>
      <c r="D36" s="43">
        <f>D37</f>
        <v>2100000</v>
      </c>
      <c r="E36" s="43">
        <f>E37</f>
        <v>0</v>
      </c>
      <c r="F36" s="43">
        <f>F37</f>
        <v>2100000</v>
      </c>
      <c r="G36" s="43">
        <f>G37</f>
        <v>0</v>
      </c>
      <c r="H36" s="43">
        <f>H37</f>
        <v>2100000</v>
      </c>
      <c r="I36" s="43">
        <f t="shared" ref="I36:L36" si="15">I37</f>
        <v>2100000</v>
      </c>
      <c r="J36" s="43">
        <f>J37</f>
        <v>0</v>
      </c>
      <c r="K36" s="43">
        <f>K37</f>
        <v>2100000</v>
      </c>
      <c r="L36" s="43">
        <f t="shared" si="15"/>
        <v>2100000</v>
      </c>
      <c r="M36" s="43">
        <f>M37</f>
        <v>0</v>
      </c>
      <c r="N36" s="43">
        <f>N37</f>
        <v>2100000</v>
      </c>
    </row>
    <row r="37" spans="1:14" ht="14.45" customHeight="1" x14ac:dyDescent="0.25">
      <c r="A37" s="96" t="s">
        <v>209</v>
      </c>
      <c r="B37" s="50" t="s">
        <v>337</v>
      </c>
      <c r="C37" s="49">
        <v>300</v>
      </c>
      <c r="D37" s="51">
        <v>2100000</v>
      </c>
      <c r="E37" s="51">
        <v>0</v>
      </c>
      <c r="F37" s="103">
        <f>D37+E37</f>
        <v>2100000</v>
      </c>
      <c r="G37" s="51">
        <v>0</v>
      </c>
      <c r="H37" s="103">
        <f>F37+G37</f>
        <v>2100000</v>
      </c>
      <c r="I37" s="51">
        <v>2100000</v>
      </c>
      <c r="J37" s="51">
        <v>0</v>
      </c>
      <c r="K37" s="103">
        <f>I37+J37</f>
        <v>2100000</v>
      </c>
      <c r="L37" s="51">
        <v>2100000</v>
      </c>
      <c r="M37" s="51">
        <v>0</v>
      </c>
      <c r="N37" s="103">
        <f>L37+M37</f>
        <v>2100000</v>
      </c>
    </row>
    <row r="38" spans="1:14" ht="14.45" customHeight="1" x14ac:dyDescent="0.25">
      <c r="A38" s="34" t="s">
        <v>354</v>
      </c>
      <c r="B38" s="36" t="s">
        <v>355</v>
      </c>
      <c r="C38" s="35"/>
      <c r="D38" s="77">
        <f t="shared" ref="D38:N38" si="16">D39+D40+D41</f>
        <v>12209447</v>
      </c>
      <c r="E38" s="77">
        <f t="shared" si="16"/>
        <v>-2116625</v>
      </c>
      <c r="F38" s="77">
        <f t="shared" si="16"/>
        <v>10092822</v>
      </c>
      <c r="G38" s="77">
        <f t="shared" si="16"/>
        <v>0</v>
      </c>
      <c r="H38" s="77">
        <f t="shared" si="16"/>
        <v>10092822</v>
      </c>
      <c r="I38" s="77">
        <f t="shared" si="16"/>
        <v>2571522</v>
      </c>
      <c r="J38" s="77">
        <f t="shared" si="16"/>
        <v>0</v>
      </c>
      <c r="K38" s="77">
        <f t="shared" si="16"/>
        <v>2571522</v>
      </c>
      <c r="L38" s="77">
        <f t="shared" si="16"/>
        <v>2571522</v>
      </c>
      <c r="M38" s="77">
        <f t="shared" si="16"/>
        <v>0</v>
      </c>
      <c r="N38" s="77">
        <f t="shared" si="16"/>
        <v>2571522</v>
      </c>
    </row>
    <row r="39" spans="1:14" ht="14.45" customHeight="1" x14ac:dyDescent="0.25">
      <c r="A39" s="96" t="s">
        <v>153</v>
      </c>
      <c r="B39" s="50" t="s">
        <v>355</v>
      </c>
      <c r="C39" s="49">
        <v>200</v>
      </c>
      <c r="D39" s="51">
        <v>45000</v>
      </c>
      <c r="E39" s="51">
        <v>0</v>
      </c>
      <c r="F39" s="103">
        <f>D39+E39</f>
        <v>45000</v>
      </c>
      <c r="G39" s="51">
        <v>0</v>
      </c>
      <c r="H39" s="103">
        <f>F39+G39</f>
        <v>45000</v>
      </c>
      <c r="I39" s="51">
        <v>45000</v>
      </c>
      <c r="J39" s="51">
        <v>0</v>
      </c>
      <c r="K39" s="103">
        <f>I39+J39</f>
        <v>45000</v>
      </c>
      <c r="L39" s="51">
        <v>45000</v>
      </c>
      <c r="M39" s="51">
        <v>0</v>
      </c>
      <c r="N39" s="103">
        <f>L39+M39</f>
        <v>45000</v>
      </c>
    </row>
    <row r="40" spans="1:14" ht="14.45" customHeight="1" x14ac:dyDescent="0.25">
      <c r="A40" s="96" t="s">
        <v>209</v>
      </c>
      <c r="B40" s="50" t="s">
        <v>355</v>
      </c>
      <c r="C40" s="49">
        <v>300</v>
      </c>
      <c r="D40" s="51">
        <v>3126522</v>
      </c>
      <c r="E40" s="51">
        <v>0</v>
      </c>
      <c r="F40" s="103">
        <f>D40+E40</f>
        <v>3126522</v>
      </c>
      <c r="G40" s="51">
        <v>0</v>
      </c>
      <c r="H40" s="103">
        <f>F40+G40</f>
        <v>3126522</v>
      </c>
      <c r="I40" s="51">
        <v>2126522</v>
      </c>
      <c r="J40" s="51">
        <v>0</v>
      </c>
      <c r="K40" s="103">
        <f>I40+J40</f>
        <v>2126522</v>
      </c>
      <c r="L40" s="51">
        <v>2126522</v>
      </c>
      <c r="M40" s="51">
        <v>0</v>
      </c>
      <c r="N40" s="103">
        <f>L40+M40</f>
        <v>2126522</v>
      </c>
    </row>
    <row r="41" spans="1:14" ht="14.45" customHeight="1" x14ac:dyDescent="0.25">
      <c r="A41" s="66" t="s">
        <v>172</v>
      </c>
      <c r="B41" s="98" t="s">
        <v>355</v>
      </c>
      <c r="C41" s="97">
        <v>800</v>
      </c>
      <c r="D41" s="103">
        <v>9037925</v>
      </c>
      <c r="E41" s="103">
        <v>-2116625</v>
      </c>
      <c r="F41" s="103">
        <f>D41+E41</f>
        <v>6921300</v>
      </c>
      <c r="G41" s="103">
        <v>0</v>
      </c>
      <c r="H41" s="103">
        <f>F41+G41</f>
        <v>6921300</v>
      </c>
      <c r="I41" s="103">
        <v>400000</v>
      </c>
      <c r="J41" s="103">
        <v>0</v>
      </c>
      <c r="K41" s="103">
        <f>I41+J41</f>
        <v>400000</v>
      </c>
      <c r="L41" s="103">
        <v>400000</v>
      </c>
      <c r="M41" s="103">
        <v>0</v>
      </c>
      <c r="N41" s="103">
        <f>L41+M41</f>
        <v>400000</v>
      </c>
    </row>
    <row r="42" spans="1:14" ht="14.45" customHeight="1" x14ac:dyDescent="0.25">
      <c r="A42" s="87" t="s">
        <v>358</v>
      </c>
      <c r="B42" s="31" t="s">
        <v>359</v>
      </c>
      <c r="C42" s="32"/>
      <c r="D42" s="42">
        <f t="shared" ref="D42:N44" si="17">D43</f>
        <v>39860582.539999999</v>
      </c>
      <c r="E42" s="42">
        <f t="shared" si="17"/>
        <v>1500000</v>
      </c>
      <c r="F42" s="42">
        <f t="shared" si="17"/>
        <v>41360582.539999999</v>
      </c>
      <c r="G42" s="42">
        <f t="shared" si="17"/>
        <v>0</v>
      </c>
      <c r="H42" s="42">
        <f t="shared" si="17"/>
        <v>41360582.539999999</v>
      </c>
      <c r="I42" s="33">
        <f t="shared" si="17"/>
        <v>41874640.369999997</v>
      </c>
      <c r="J42" s="42">
        <f t="shared" si="17"/>
        <v>0</v>
      </c>
      <c r="K42" s="42">
        <f t="shared" si="17"/>
        <v>41874640.369999997</v>
      </c>
      <c r="L42" s="33">
        <f t="shared" si="17"/>
        <v>43054995.619999997</v>
      </c>
      <c r="M42" s="42">
        <f t="shared" si="17"/>
        <v>0</v>
      </c>
      <c r="N42" s="42">
        <f t="shared" si="17"/>
        <v>43054995.619999997</v>
      </c>
    </row>
    <row r="43" spans="1:14" ht="14.45" customHeight="1" x14ac:dyDescent="0.25">
      <c r="A43" s="60" t="s">
        <v>313</v>
      </c>
      <c r="B43" s="31" t="s">
        <v>360</v>
      </c>
      <c r="C43" s="32" t="s">
        <v>0</v>
      </c>
      <c r="D43" s="42">
        <f t="shared" si="17"/>
        <v>39860582.539999999</v>
      </c>
      <c r="E43" s="42">
        <f t="shared" si="17"/>
        <v>1500000</v>
      </c>
      <c r="F43" s="42">
        <f t="shared" si="17"/>
        <v>41360582.539999999</v>
      </c>
      <c r="G43" s="42">
        <f t="shared" si="17"/>
        <v>0</v>
      </c>
      <c r="H43" s="42">
        <f t="shared" si="17"/>
        <v>41360582.539999999</v>
      </c>
      <c r="I43" s="33">
        <f t="shared" si="17"/>
        <v>41874640.369999997</v>
      </c>
      <c r="J43" s="42">
        <f t="shared" si="17"/>
        <v>0</v>
      </c>
      <c r="K43" s="42">
        <f t="shared" si="17"/>
        <v>41874640.369999997</v>
      </c>
      <c r="L43" s="33">
        <f t="shared" si="17"/>
        <v>43054995.619999997</v>
      </c>
      <c r="M43" s="42">
        <f t="shared" si="17"/>
        <v>0</v>
      </c>
      <c r="N43" s="42">
        <f t="shared" si="17"/>
        <v>43054995.619999997</v>
      </c>
    </row>
    <row r="44" spans="1:14" x14ac:dyDescent="0.25">
      <c r="A44" s="48" t="s">
        <v>315</v>
      </c>
      <c r="B44" s="35" t="s">
        <v>361</v>
      </c>
      <c r="C44" s="36"/>
      <c r="D44" s="43">
        <f t="shared" si="17"/>
        <v>39860582.539999999</v>
      </c>
      <c r="E44" s="43">
        <f t="shared" si="17"/>
        <v>1500000</v>
      </c>
      <c r="F44" s="43">
        <f t="shared" si="17"/>
        <v>41360582.539999999</v>
      </c>
      <c r="G44" s="43">
        <f t="shared" si="17"/>
        <v>0</v>
      </c>
      <c r="H44" s="43">
        <f t="shared" si="17"/>
        <v>41360582.539999999</v>
      </c>
      <c r="I44" s="37">
        <f t="shared" si="17"/>
        <v>41874640.369999997</v>
      </c>
      <c r="J44" s="43">
        <f t="shared" si="17"/>
        <v>0</v>
      </c>
      <c r="K44" s="43">
        <f t="shared" si="17"/>
        <v>41874640.369999997</v>
      </c>
      <c r="L44" s="37">
        <f t="shared" si="17"/>
        <v>43054995.619999997</v>
      </c>
      <c r="M44" s="43">
        <f t="shared" si="17"/>
        <v>0</v>
      </c>
      <c r="N44" s="43">
        <f t="shared" si="17"/>
        <v>43054995.619999997</v>
      </c>
    </row>
    <row r="45" spans="1:14" ht="14.45" customHeight="1" x14ac:dyDescent="0.25">
      <c r="A45" s="105" t="s">
        <v>305</v>
      </c>
      <c r="B45" s="49" t="s">
        <v>361</v>
      </c>
      <c r="C45" s="98">
        <v>600</v>
      </c>
      <c r="D45" s="103">
        <v>39860582.539999999</v>
      </c>
      <c r="E45" s="103">
        <v>1500000</v>
      </c>
      <c r="F45" s="103">
        <f>D45+E45</f>
        <v>41360582.539999999</v>
      </c>
      <c r="G45" s="103">
        <v>0</v>
      </c>
      <c r="H45" s="103">
        <f>F45+G45</f>
        <v>41360582.539999999</v>
      </c>
      <c r="I45" s="103">
        <v>41874640.369999997</v>
      </c>
      <c r="J45" s="103">
        <v>0</v>
      </c>
      <c r="K45" s="103">
        <f>I45+J45</f>
        <v>41874640.369999997</v>
      </c>
      <c r="L45" s="103">
        <v>43054995.619999997</v>
      </c>
      <c r="M45" s="103">
        <v>0</v>
      </c>
      <c r="N45" s="103">
        <f>L45+M45</f>
        <v>43054995.619999997</v>
      </c>
    </row>
    <row r="46" spans="1:14" ht="14.45" customHeight="1" x14ac:dyDescent="0.25">
      <c r="A46" s="87" t="s">
        <v>245</v>
      </c>
      <c r="B46" s="31" t="s">
        <v>246</v>
      </c>
      <c r="C46" s="32" t="s">
        <v>0</v>
      </c>
      <c r="D46" s="42">
        <f>D50+D47</f>
        <v>65787396.800168887</v>
      </c>
      <c r="E46" s="42">
        <f>E50+E47</f>
        <v>5066022.6900000004</v>
      </c>
      <c r="F46" s="42">
        <f>F50+F47</f>
        <v>70853419.490168884</v>
      </c>
      <c r="G46" s="42">
        <f>G50+G47</f>
        <v>13496240.83</v>
      </c>
      <c r="H46" s="42">
        <f>H50+H47</f>
        <v>84349660.320168883</v>
      </c>
      <c r="I46" s="42">
        <f t="shared" ref="I46:L46" si="18">I50+I47</f>
        <v>61386156.20817861</v>
      </c>
      <c r="J46" s="42">
        <f>J50+J47</f>
        <v>0</v>
      </c>
      <c r="K46" s="42">
        <f>K50+K47</f>
        <v>61386156.20817861</v>
      </c>
      <c r="L46" s="42">
        <f t="shared" si="18"/>
        <v>63841602.457409158</v>
      </c>
      <c r="M46" s="42">
        <f>M50+M47</f>
        <v>0</v>
      </c>
      <c r="N46" s="42">
        <f>N50+N47</f>
        <v>63841602.457409158</v>
      </c>
    </row>
    <row r="47" spans="1:14" ht="14.45" customHeight="1" x14ac:dyDescent="0.25">
      <c r="A47" s="30" t="s">
        <v>165</v>
      </c>
      <c r="B47" s="32" t="s">
        <v>247</v>
      </c>
      <c r="C47" s="32"/>
      <c r="D47" s="42">
        <f t="shared" ref="D47:N48" si="19">D48</f>
        <v>6800223.1699999999</v>
      </c>
      <c r="E47" s="42">
        <f t="shared" si="19"/>
        <v>5000000</v>
      </c>
      <c r="F47" s="42">
        <f t="shared" si="19"/>
        <v>11800223.17</v>
      </c>
      <c r="G47" s="42">
        <f t="shared" si="19"/>
        <v>13081635.83</v>
      </c>
      <c r="H47" s="42">
        <f t="shared" si="19"/>
        <v>24881859</v>
      </c>
      <c r="I47" s="33">
        <f t="shared" si="19"/>
        <v>0</v>
      </c>
      <c r="J47" s="42">
        <f t="shared" si="19"/>
        <v>0</v>
      </c>
      <c r="K47" s="42">
        <f t="shared" si="19"/>
        <v>0</v>
      </c>
      <c r="L47" s="33">
        <f t="shared" si="19"/>
        <v>0</v>
      </c>
      <c r="M47" s="42">
        <f t="shared" si="19"/>
        <v>0</v>
      </c>
      <c r="N47" s="42">
        <f t="shared" si="19"/>
        <v>0</v>
      </c>
    </row>
    <row r="48" spans="1:14" ht="14.45" customHeight="1" x14ac:dyDescent="0.25">
      <c r="A48" s="34" t="s">
        <v>248</v>
      </c>
      <c r="B48" s="36" t="s">
        <v>249</v>
      </c>
      <c r="C48" s="32"/>
      <c r="D48" s="43">
        <f t="shared" si="19"/>
        <v>6800223.1699999999</v>
      </c>
      <c r="E48" s="43">
        <f t="shared" si="19"/>
        <v>5000000</v>
      </c>
      <c r="F48" s="43">
        <f t="shared" si="19"/>
        <v>11800223.17</v>
      </c>
      <c r="G48" s="43">
        <f t="shared" si="19"/>
        <v>13081635.83</v>
      </c>
      <c r="H48" s="43">
        <f t="shared" si="19"/>
        <v>24881859</v>
      </c>
      <c r="I48" s="37">
        <f t="shared" si="19"/>
        <v>0</v>
      </c>
      <c r="J48" s="43">
        <f t="shared" si="19"/>
        <v>0</v>
      </c>
      <c r="K48" s="43">
        <f t="shared" si="19"/>
        <v>0</v>
      </c>
      <c r="L48" s="37">
        <f t="shared" si="19"/>
        <v>0</v>
      </c>
      <c r="M48" s="43">
        <f t="shared" si="19"/>
        <v>0</v>
      </c>
      <c r="N48" s="43">
        <f t="shared" si="19"/>
        <v>0</v>
      </c>
    </row>
    <row r="49" spans="1:14" ht="14.45" customHeight="1" x14ac:dyDescent="0.25">
      <c r="A49" s="96" t="s">
        <v>387</v>
      </c>
      <c r="B49" s="98" t="s">
        <v>249</v>
      </c>
      <c r="C49" s="50">
        <v>200</v>
      </c>
      <c r="D49" s="103">
        <v>6800223.1699999999</v>
      </c>
      <c r="E49" s="103">
        <v>5000000</v>
      </c>
      <c r="F49" s="103">
        <f>D49+E49</f>
        <v>11800223.17</v>
      </c>
      <c r="G49" s="103">
        <f>'По разделам 4'!I113</f>
        <v>13081635.83</v>
      </c>
      <c r="H49" s="103">
        <f>F49+G49</f>
        <v>24881859</v>
      </c>
      <c r="I49" s="103">
        <v>0</v>
      </c>
      <c r="J49" s="103">
        <v>0</v>
      </c>
      <c r="K49" s="103">
        <f>I49+J49</f>
        <v>0</v>
      </c>
      <c r="L49" s="103">
        <v>0</v>
      </c>
      <c r="M49" s="103">
        <v>0</v>
      </c>
      <c r="N49" s="103">
        <f>L49+M49</f>
        <v>0</v>
      </c>
    </row>
    <row r="50" spans="1:14" ht="14.45" customHeight="1" x14ac:dyDescent="0.25">
      <c r="A50" s="30" t="s">
        <v>313</v>
      </c>
      <c r="B50" s="31" t="s">
        <v>314</v>
      </c>
      <c r="C50" s="32" t="s">
        <v>0</v>
      </c>
      <c r="D50" s="42">
        <f>D51</f>
        <v>58987173.630168885</v>
      </c>
      <c r="E50" s="42">
        <f>E51</f>
        <v>66022.69</v>
      </c>
      <c r="F50" s="42">
        <f>F51</f>
        <v>59053196.320168883</v>
      </c>
      <c r="G50" s="42">
        <f>G51</f>
        <v>414605</v>
      </c>
      <c r="H50" s="42">
        <f>H51</f>
        <v>59467801.320168883</v>
      </c>
      <c r="I50" s="42">
        <f t="shared" ref="I50:L50" si="20">I51</f>
        <v>61386156.20817861</v>
      </c>
      <c r="J50" s="42">
        <f>J51</f>
        <v>0</v>
      </c>
      <c r="K50" s="42">
        <f>K51</f>
        <v>61386156.20817861</v>
      </c>
      <c r="L50" s="42">
        <f t="shared" si="20"/>
        <v>63841602.457409158</v>
      </c>
      <c r="M50" s="42">
        <f>M51</f>
        <v>0</v>
      </c>
      <c r="N50" s="42">
        <f>N51</f>
        <v>63841602.457409158</v>
      </c>
    </row>
    <row r="51" spans="1:14" ht="14.45" customHeight="1" x14ac:dyDescent="0.25">
      <c r="A51" s="34" t="s">
        <v>315</v>
      </c>
      <c r="B51" s="35" t="s">
        <v>316</v>
      </c>
      <c r="C51" s="36" t="s">
        <v>0</v>
      </c>
      <c r="D51" s="43">
        <f>D52+D53+D54+D55</f>
        <v>58987173.630168885</v>
      </c>
      <c r="E51" s="43">
        <f>E52+E53+E54+E55</f>
        <v>66022.69</v>
      </c>
      <c r="F51" s="43">
        <f>F52+F53+F54+F55</f>
        <v>59053196.320168883</v>
      </c>
      <c r="G51" s="43">
        <f>G52+G53+G54+G55</f>
        <v>414605</v>
      </c>
      <c r="H51" s="43">
        <f>H52+H53+H54+H55</f>
        <v>59467801.320168883</v>
      </c>
      <c r="I51" s="43">
        <f t="shared" ref="I51:L51" si="21">I52+I53+I54+I55</f>
        <v>61386156.20817861</v>
      </c>
      <c r="J51" s="43">
        <f>J52+J53+J54+J55</f>
        <v>0</v>
      </c>
      <c r="K51" s="43">
        <f>K52+K53+K54+K55</f>
        <v>61386156.20817861</v>
      </c>
      <c r="L51" s="43">
        <f t="shared" si="21"/>
        <v>63841602.457409158</v>
      </c>
      <c r="M51" s="43">
        <f>M52+M53+M54+M55</f>
        <v>0</v>
      </c>
      <c r="N51" s="43">
        <f>N52+N53+N54+N55</f>
        <v>63841602.457409158</v>
      </c>
    </row>
    <row r="52" spans="1:14" ht="14.45" customHeight="1" x14ac:dyDescent="0.25">
      <c r="A52" s="96" t="s">
        <v>151</v>
      </c>
      <c r="B52" s="49" t="s">
        <v>316</v>
      </c>
      <c r="C52" s="98" t="s">
        <v>152</v>
      </c>
      <c r="D52" s="103">
        <v>54362729.629946001</v>
      </c>
      <c r="E52" s="103">
        <v>-10000</v>
      </c>
      <c r="F52" s="103">
        <f>D52+E52</f>
        <v>54352729.629946001</v>
      </c>
      <c r="G52" s="103">
        <f>'По разделам 4'!I191</f>
        <v>414605</v>
      </c>
      <c r="H52" s="103">
        <f>F52+G52</f>
        <v>54767334.629946001</v>
      </c>
      <c r="I52" s="103">
        <v>56615228.209343739</v>
      </c>
      <c r="J52" s="103">
        <v>0</v>
      </c>
      <c r="K52" s="103">
        <f>I52+J52</f>
        <v>56615228.209343739</v>
      </c>
      <c r="L52" s="103">
        <v>58885044.45931749</v>
      </c>
      <c r="M52" s="103">
        <v>0</v>
      </c>
      <c r="N52" s="103">
        <f>L52+M52</f>
        <v>58885044.45931749</v>
      </c>
    </row>
    <row r="53" spans="1:14" x14ac:dyDescent="0.25">
      <c r="A53" s="96" t="s">
        <v>153</v>
      </c>
      <c r="B53" s="49" t="s">
        <v>316</v>
      </c>
      <c r="C53" s="98" t="s">
        <v>158</v>
      </c>
      <c r="D53" s="103">
        <v>4459608.0002228813</v>
      </c>
      <c r="E53" s="103">
        <v>34027.69</v>
      </c>
      <c r="F53" s="103">
        <f>D53+E53</f>
        <v>4493635.6902228817</v>
      </c>
      <c r="G53" s="103">
        <v>0</v>
      </c>
      <c r="H53" s="103">
        <f>F53+G53</f>
        <v>4493635.6902228817</v>
      </c>
      <c r="I53" s="103">
        <v>4601146.9991948679</v>
      </c>
      <c r="J53" s="103">
        <v>0</v>
      </c>
      <c r="K53" s="103">
        <f>I53+J53</f>
        <v>4601146.9991948679</v>
      </c>
      <c r="L53" s="103">
        <v>4779985.997866068</v>
      </c>
      <c r="M53" s="103">
        <v>0</v>
      </c>
      <c r="N53" s="103">
        <f>L53+M53</f>
        <v>4779985.997866068</v>
      </c>
    </row>
    <row r="54" spans="1:14" ht="14.45" customHeight="1" x14ac:dyDescent="0.25">
      <c r="A54" s="96" t="s">
        <v>209</v>
      </c>
      <c r="B54" s="49" t="s">
        <v>316</v>
      </c>
      <c r="C54" s="98" t="s">
        <v>210</v>
      </c>
      <c r="D54" s="103">
        <v>0</v>
      </c>
      <c r="E54" s="103">
        <v>10000</v>
      </c>
      <c r="F54" s="103">
        <f>D54+E54</f>
        <v>10000</v>
      </c>
      <c r="G54" s="103">
        <v>0</v>
      </c>
      <c r="H54" s="103">
        <f>F54+G54</f>
        <v>10000</v>
      </c>
      <c r="I54" s="103">
        <v>0</v>
      </c>
      <c r="J54" s="103">
        <v>0</v>
      </c>
      <c r="K54" s="103">
        <f>I54+J54</f>
        <v>0</v>
      </c>
      <c r="L54" s="103">
        <v>0</v>
      </c>
      <c r="M54" s="103">
        <v>0</v>
      </c>
      <c r="N54" s="103">
        <f>L54+M54</f>
        <v>0</v>
      </c>
    </row>
    <row r="55" spans="1:14" x14ac:dyDescent="0.25">
      <c r="A55" s="96" t="s">
        <v>172</v>
      </c>
      <c r="B55" s="49" t="s">
        <v>388</v>
      </c>
      <c r="C55" s="98" t="s">
        <v>173</v>
      </c>
      <c r="D55" s="103">
        <v>164836</v>
      </c>
      <c r="E55" s="103">
        <v>31995</v>
      </c>
      <c r="F55" s="103">
        <f>D55+E55</f>
        <v>196831</v>
      </c>
      <c r="G55" s="103">
        <v>0</v>
      </c>
      <c r="H55" s="103">
        <f>F55+G55</f>
        <v>196831</v>
      </c>
      <c r="I55" s="103">
        <v>169780.99964000002</v>
      </c>
      <c r="J55" s="103">
        <v>0</v>
      </c>
      <c r="K55" s="103">
        <f>I55+J55</f>
        <v>169780.99964000002</v>
      </c>
      <c r="L55" s="103">
        <v>176572.0002256</v>
      </c>
      <c r="M55" s="103">
        <v>0</v>
      </c>
      <c r="N55" s="103">
        <f>L55+M55</f>
        <v>176572.0002256</v>
      </c>
    </row>
    <row r="56" spans="1:14" x14ac:dyDescent="0.25">
      <c r="A56" s="87" t="s">
        <v>257</v>
      </c>
      <c r="B56" s="32" t="s">
        <v>258</v>
      </c>
      <c r="C56" s="31" t="s">
        <v>0</v>
      </c>
      <c r="D56" s="42">
        <f>D57</f>
        <v>76340768.670000002</v>
      </c>
      <c r="E56" s="42">
        <f>E57</f>
        <v>297600691.51999998</v>
      </c>
      <c r="F56" s="42">
        <f>F57</f>
        <v>373941460.19</v>
      </c>
      <c r="G56" s="42">
        <f>G57</f>
        <v>-762182.75999999978</v>
      </c>
      <c r="H56" s="42">
        <f>H57</f>
        <v>373179277.42999995</v>
      </c>
      <c r="I56" s="42">
        <f t="shared" ref="I56:L56" si="22">I57</f>
        <v>9982366.8399999999</v>
      </c>
      <c r="J56" s="42">
        <f>J57</f>
        <v>0</v>
      </c>
      <c r="K56" s="42">
        <f>K57</f>
        <v>9982366.8399999999</v>
      </c>
      <c r="L56" s="42">
        <f t="shared" si="22"/>
        <v>9714901</v>
      </c>
      <c r="M56" s="42">
        <f>M57</f>
        <v>0</v>
      </c>
      <c r="N56" s="42">
        <f>N57</f>
        <v>9714901</v>
      </c>
    </row>
    <row r="57" spans="1:14" x14ac:dyDescent="0.25">
      <c r="A57" s="30" t="s">
        <v>165</v>
      </c>
      <c r="B57" s="32" t="s">
        <v>259</v>
      </c>
      <c r="C57" s="31" t="s">
        <v>0</v>
      </c>
      <c r="D57" s="42">
        <f>D60+D63++D66+D69+D71+D58+D73+D77+D79+D82</f>
        <v>76340768.670000002</v>
      </c>
      <c r="E57" s="42">
        <f>E60+E63++E66+E69+E71+E58+E73+E77+E79+E82</f>
        <v>297600691.51999998</v>
      </c>
      <c r="F57" s="42">
        <f t="shared" ref="F57:L57" si="23">F60+F63++F66+F69+F71+F58+F73+F77+F79+F82</f>
        <v>373941460.19</v>
      </c>
      <c r="G57" s="42">
        <f>G60+G63++G66+G69+G71+G58+G73+G77+G79+G82</f>
        <v>-762182.75999999978</v>
      </c>
      <c r="H57" s="42">
        <f t="shared" si="23"/>
        <v>373179277.42999995</v>
      </c>
      <c r="I57" s="42">
        <f t="shared" si="23"/>
        <v>9982366.8399999999</v>
      </c>
      <c r="J57" s="42">
        <f>J60+J63++J66+J69+J71+J58+J73+J77+J79+J82</f>
        <v>0</v>
      </c>
      <c r="K57" s="42">
        <f t="shared" ref="K57" si="24">K60+K63++K66+K69+K71+K58+K73+K77+K79+K82</f>
        <v>9982366.8399999999</v>
      </c>
      <c r="L57" s="42">
        <f t="shared" si="23"/>
        <v>9714901</v>
      </c>
      <c r="M57" s="42">
        <f>M60+M63++M66+M69+M71+M58+M73+M77+M79+M82</f>
        <v>0</v>
      </c>
      <c r="N57" s="42">
        <f t="shared" ref="N57" si="25">N60+N63++N66+N69+N71+N58+N73+N77+N79+N82</f>
        <v>9714901</v>
      </c>
    </row>
    <row r="58" spans="1:14" x14ac:dyDescent="0.25">
      <c r="A58" s="34" t="s">
        <v>260</v>
      </c>
      <c r="B58" s="36" t="s">
        <v>261</v>
      </c>
      <c r="C58" s="35" t="s">
        <v>0</v>
      </c>
      <c r="D58" s="43">
        <f t="shared" ref="D58:N58" si="26">D59</f>
        <v>1050683</v>
      </c>
      <c r="E58" s="43">
        <f t="shared" si="26"/>
        <v>0</v>
      </c>
      <c r="F58" s="43">
        <f t="shared" si="26"/>
        <v>1050683</v>
      </c>
      <c r="G58" s="43">
        <f t="shared" si="26"/>
        <v>1000000</v>
      </c>
      <c r="H58" s="43">
        <f t="shared" si="26"/>
        <v>2050683</v>
      </c>
      <c r="I58" s="43">
        <f t="shared" si="26"/>
        <v>2143393</v>
      </c>
      <c r="J58" s="43">
        <f t="shared" si="26"/>
        <v>0</v>
      </c>
      <c r="K58" s="43">
        <f t="shared" si="26"/>
        <v>2143393</v>
      </c>
      <c r="L58" s="43">
        <f t="shared" si="26"/>
        <v>1636420</v>
      </c>
      <c r="M58" s="43">
        <f t="shared" si="26"/>
        <v>0</v>
      </c>
      <c r="N58" s="43">
        <f t="shared" si="26"/>
        <v>1636420</v>
      </c>
    </row>
    <row r="59" spans="1:14" x14ac:dyDescent="0.25">
      <c r="A59" s="96" t="s">
        <v>153</v>
      </c>
      <c r="B59" s="98" t="s">
        <v>261</v>
      </c>
      <c r="C59" s="97" t="s">
        <v>158</v>
      </c>
      <c r="D59" s="103">
        <v>1050683</v>
      </c>
      <c r="E59" s="103">
        <v>0</v>
      </c>
      <c r="F59" s="103">
        <f>D59+E59</f>
        <v>1050683</v>
      </c>
      <c r="G59" s="103">
        <f>'По разделам 4'!I123</f>
        <v>1000000</v>
      </c>
      <c r="H59" s="103">
        <f>F59+G59</f>
        <v>2050683</v>
      </c>
      <c r="I59" s="103">
        <v>2143393</v>
      </c>
      <c r="J59" s="103">
        <v>0</v>
      </c>
      <c r="K59" s="103">
        <f>I59+J59</f>
        <v>2143393</v>
      </c>
      <c r="L59" s="103">
        <v>1636420</v>
      </c>
      <c r="M59" s="103">
        <v>0</v>
      </c>
      <c r="N59" s="103">
        <f>L59+M59</f>
        <v>1636420</v>
      </c>
    </row>
    <row r="60" spans="1:14" x14ac:dyDescent="0.25">
      <c r="A60" s="34" t="s">
        <v>339</v>
      </c>
      <c r="B60" s="36" t="s">
        <v>340</v>
      </c>
      <c r="C60" s="35" t="s">
        <v>0</v>
      </c>
      <c r="D60" s="43">
        <f>D61+D62</f>
        <v>4423333.4800000004</v>
      </c>
      <c r="E60" s="43">
        <f>E61+E62</f>
        <v>0</v>
      </c>
      <c r="F60" s="43">
        <f>F61+F62</f>
        <v>4423333.4800000004</v>
      </c>
      <c r="G60" s="43">
        <f>G61+G62</f>
        <v>0</v>
      </c>
      <c r="H60" s="43">
        <f>H61+H62</f>
        <v>4423333.4800000004</v>
      </c>
      <c r="I60" s="43">
        <f t="shared" ref="I60:L60" si="27">I61+I62</f>
        <v>500000</v>
      </c>
      <c r="J60" s="43">
        <f>J61+J62</f>
        <v>0</v>
      </c>
      <c r="K60" s="43">
        <f>K61+K62</f>
        <v>500000</v>
      </c>
      <c r="L60" s="43">
        <f t="shared" si="27"/>
        <v>500000</v>
      </c>
      <c r="M60" s="43">
        <f>M61+M62</f>
        <v>0</v>
      </c>
      <c r="N60" s="43">
        <f>N61+N62</f>
        <v>500000</v>
      </c>
    </row>
    <row r="61" spans="1:14" x14ac:dyDescent="0.25">
      <c r="A61" s="96" t="s">
        <v>209</v>
      </c>
      <c r="B61" s="98" t="s">
        <v>340</v>
      </c>
      <c r="C61" s="97" t="s">
        <v>210</v>
      </c>
      <c r="D61" s="103">
        <v>500000</v>
      </c>
      <c r="E61" s="103">
        <v>0</v>
      </c>
      <c r="F61" s="103">
        <f>D61+E61</f>
        <v>500000</v>
      </c>
      <c r="G61" s="103">
        <v>0</v>
      </c>
      <c r="H61" s="103">
        <f>F61+G61</f>
        <v>500000</v>
      </c>
      <c r="I61" s="103">
        <v>500000</v>
      </c>
      <c r="J61" s="103">
        <v>0</v>
      </c>
      <c r="K61" s="103">
        <f>I61+J61</f>
        <v>500000</v>
      </c>
      <c r="L61" s="103">
        <v>500000</v>
      </c>
      <c r="M61" s="103">
        <v>0</v>
      </c>
      <c r="N61" s="103">
        <f>L61+M61</f>
        <v>500000</v>
      </c>
    </row>
    <row r="62" spans="1:14" x14ac:dyDescent="0.25">
      <c r="A62" s="96" t="s">
        <v>169</v>
      </c>
      <c r="B62" s="98" t="s">
        <v>340</v>
      </c>
      <c r="C62" s="97" t="s">
        <v>171</v>
      </c>
      <c r="D62" s="103">
        <v>3923333.48</v>
      </c>
      <c r="E62" s="103">
        <v>0</v>
      </c>
      <c r="F62" s="103">
        <f>D62+E62</f>
        <v>3923333.48</v>
      </c>
      <c r="G62" s="103">
        <v>0</v>
      </c>
      <c r="H62" s="103">
        <f>F62+G62</f>
        <v>3923333.48</v>
      </c>
      <c r="I62" s="103">
        <v>0</v>
      </c>
      <c r="J62" s="103">
        <v>0</v>
      </c>
      <c r="K62" s="103">
        <f>I62+J62</f>
        <v>0</v>
      </c>
      <c r="L62" s="103">
        <v>0</v>
      </c>
      <c r="M62" s="103">
        <v>0</v>
      </c>
      <c r="N62" s="103">
        <f>L62+M62</f>
        <v>0</v>
      </c>
    </row>
    <row r="63" spans="1:14" ht="12.75" customHeight="1" x14ac:dyDescent="0.25">
      <c r="A63" s="34" t="s">
        <v>271</v>
      </c>
      <c r="B63" s="36" t="s">
        <v>272</v>
      </c>
      <c r="C63" s="35" t="s">
        <v>0</v>
      </c>
      <c r="D63" s="43">
        <f>D64+D65</f>
        <v>7941008.4000000004</v>
      </c>
      <c r="E63" s="43">
        <f>E64+E65</f>
        <v>0</v>
      </c>
      <c r="F63" s="43">
        <f>F64+F65</f>
        <v>7941008.4000000004</v>
      </c>
      <c r="G63" s="43">
        <f>G64+G65</f>
        <v>0</v>
      </c>
      <c r="H63" s="43">
        <f>H64+H65</f>
        <v>7941008.4000000004</v>
      </c>
      <c r="I63" s="43">
        <f t="shared" ref="I63:L63" si="28">I64+I65</f>
        <v>232019.84</v>
      </c>
      <c r="J63" s="43">
        <f>J64+J65</f>
        <v>0</v>
      </c>
      <c r="K63" s="43">
        <f>K64+K65</f>
        <v>232019.84</v>
      </c>
      <c r="L63" s="43">
        <f t="shared" si="28"/>
        <v>241300</v>
      </c>
      <c r="M63" s="43">
        <f>M64+M65</f>
        <v>0</v>
      </c>
      <c r="N63" s="43">
        <f>N64+N65</f>
        <v>241300</v>
      </c>
    </row>
    <row r="64" spans="1:14" x14ac:dyDescent="0.25">
      <c r="A64" s="96" t="s">
        <v>153</v>
      </c>
      <c r="B64" s="98" t="s">
        <v>272</v>
      </c>
      <c r="C64" s="97" t="s">
        <v>158</v>
      </c>
      <c r="D64" s="103">
        <f>232019.84+2138588.56</f>
        <v>2370608.4</v>
      </c>
      <c r="E64" s="103">
        <v>0</v>
      </c>
      <c r="F64" s="103">
        <f>D64+E64</f>
        <v>2370608.4</v>
      </c>
      <c r="G64" s="103">
        <v>0</v>
      </c>
      <c r="H64" s="103">
        <f>F64+G64</f>
        <v>2370608.4</v>
      </c>
      <c r="I64" s="103">
        <v>232019.84</v>
      </c>
      <c r="J64" s="103">
        <v>0</v>
      </c>
      <c r="K64" s="103">
        <f>I64+J64</f>
        <v>232019.84</v>
      </c>
      <c r="L64" s="103">
        <v>241300</v>
      </c>
      <c r="M64" s="103">
        <v>0</v>
      </c>
      <c r="N64" s="103">
        <f>L64+M64</f>
        <v>241300</v>
      </c>
    </row>
    <row r="65" spans="1:14" x14ac:dyDescent="0.25">
      <c r="A65" s="96" t="s">
        <v>169</v>
      </c>
      <c r="B65" s="98" t="s">
        <v>272</v>
      </c>
      <c r="C65" s="97" t="s">
        <v>171</v>
      </c>
      <c r="D65" s="103">
        <v>5570400</v>
      </c>
      <c r="E65" s="103">
        <v>0</v>
      </c>
      <c r="F65" s="103">
        <f>D65+E65</f>
        <v>5570400</v>
      </c>
      <c r="G65" s="103">
        <v>0</v>
      </c>
      <c r="H65" s="103">
        <f>F65+G65</f>
        <v>5570400</v>
      </c>
      <c r="I65" s="103">
        <v>0</v>
      </c>
      <c r="J65" s="103">
        <v>0</v>
      </c>
      <c r="K65" s="103">
        <f>I65+J65</f>
        <v>0</v>
      </c>
      <c r="L65" s="103">
        <v>0</v>
      </c>
      <c r="M65" s="103">
        <v>0</v>
      </c>
      <c r="N65" s="103">
        <f>L65+M65</f>
        <v>0</v>
      </c>
    </row>
    <row r="66" spans="1:14" x14ac:dyDescent="0.25">
      <c r="A66" s="34" t="s">
        <v>273</v>
      </c>
      <c r="B66" s="36" t="s">
        <v>274</v>
      </c>
      <c r="C66" s="35"/>
      <c r="D66" s="43">
        <f>D67+D68</f>
        <v>28820918.659999996</v>
      </c>
      <c r="E66" s="43">
        <f t="shared" ref="E66:N66" si="29">E67+E68</f>
        <v>182235290.69999999</v>
      </c>
      <c r="F66" s="43">
        <f t="shared" si="29"/>
        <v>211056209.36000001</v>
      </c>
      <c r="G66" s="43">
        <f t="shared" si="29"/>
        <v>169974.49</v>
      </c>
      <c r="H66" s="43">
        <f t="shared" si="29"/>
        <v>211226183.84999999</v>
      </c>
      <c r="I66" s="43">
        <f>I67+I68</f>
        <v>0</v>
      </c>
      <c r="J66" s="43">
        <f t="shared" ref="J66:K66" si="30">J67+J68</f>
        <v>0</v>
      </c>
      <c r="K66" s="43">
        <f t="shared" si="30"/>
        <v>0</v>
      </c>
      <c r="L66" s="43">
        <f t="shared" si="29"/>
        <v>0</v>
      </c>
      <c r="M66" s="43">
        <f t="shared" si="29"/>
        <v>0</v>
      </c>
      <c r="N66" s="43">
        <f t="shared" si="29"/>
        <v>0</v>
      </c>
    </row>
    <row r="67" spans="1:14" x14ac:dyDescent="0.25">
      <c r="A67" s="96" t="s">
        <v>153</v>
      </c>
      <c r="B67" s="98" t="s">
        <v>274</v>
      </c>
      <c r="C67" s="97">
        <v>200</v>
      </c>
      <c r="D67" s="103">
        <v>2468703.17</v>
      </c>
      <c r="E67" s="103">
        <f>60000+16133267.7+60000+2783982.34</f>
        <v>19037250.039999999</v>
      </c>
      <c r="F67" s="103">
        <f>D67+E67</f>
        <v>21505953.210000001</v>
      </c>
      <c r="G67" s="103">
        <f>'По разделам 4'!I138</f>
        <v>169974.49</v>
      </c>
      <c r="H67" s="103">
        <f>F67+G67</f>
        <v>21675927.699999999</v>
      </c>
      <c r="I67" s="103">
        <v>0</v>
      </c>
      <c r="J67" s="103">
        <v>0</v>
      </c>
      <c r="K67" s="103">
        <f>I67+J67</f>
        <v>0</v>
      </c>
      <c r="L67" s="103">
        <v>0</v>
      </c>
      <c r="M67" s="103">
        <v>0</v>
      </c>
      <c r="N67" s="103">
        <f>L67+M67</f>
        <v>0</v>
      </c>
    </row>
    <row r="68" spans="1:14" x14ac:dyDescent="0.25">
      <c r="A68" s="96" t="s">
        <v>169</v>
      </c>
      <c r="B68" s="98" t="s">
        <v>274</v>
      </c>
      <c r="C68" s="97">
        <v>400</v>
      </c>
      <c r="D68" s="103">
        <f>25000000+2929330-1577114.51</f>
        <v>26352215.489999998</v>
      </c>
      <c r="E68" s="103">
        <f>121042023+42156017.66</f>
        <v>163198040.66</v>
      </c>
      <c r="F68" s="103">
        <f>D68+E68</f>
        <v>189550256.15000001</v>
      </c>
      <c r="G68" s="103">
        <v>0</v>
      </c>
      <c r="H68" s="103">
        <f>F68+G68</f>
        <v>189550256.15000001</v>
      </c>
      <c r="I68" s="103">
        <v>0</v>
      </c>
      <c r="J68" s="103">
        <v>0</v>
      </c>
      <c r="K68" s="103">
        <f>I68+J68</f>
        <v>0</v>
      </c>
      <c r="L68" s="103">
        <v>0</v>
      </c>
      <c r="M68" s="103">
        <v>0</v>
      </c>
      <c r="N68" s="103">
        <f>L68+M68</f>
        <v>0</v>
      </c>
    </row>
    <row r="69" spans="1:14" x14ac:dyDescent="0.25">
      <c r="A69" s="34" t="s">
        <v>275</v>
      </c>
      <c r="B69" s="36" t="s">
        <v>276</v>
      </c>
      <c r="C69" s="35" t="s">
        <v>0</v>
      </c>
      <c r="D69" s="43">
        <f>D70</f>
        <v>2802321</v>
      </c>
      <c r="E69" s="43">
        <f>E70</f>
        <v>0</v>
      </c>
      <c r="F69" s="43">
        <f>F70</f>
        <v>2802321</v>
      </c>
      <c r="G69" s="43">
        <f>G70</f>
        <v>2692316.84</v>
      </c>
      <c r="H69" s="43">
        <f>H70</f>
        <v>5494637.8399999999</v>
      </c>
      <c r="I69" s="43">
        <f t="shared" ref="I69:L69" si="31">I70</f>
        <v>1035150</v>
      </c>
      <c r="J69" s="43">
        <f>J70</f>
        <v>0</v>
      </c>
      <c r="K69" s="43">
        <f>K70</f>
        <v>1035150</v>
      </c>
      <c r="L69" s="43">
        <f t="shared" si="31"/>
        <v>1035150</v>
      </c>
      <c r="M69" s="43">
        <f>M70</f>
        <v>0</v>
      </c>
      <c r="N69" s="43">
        <f>N70</f>
        <v>1035150</v>
      </c>
    </row>
    <row r="70" spans="1:14" x14ac:dyDescent="0.25">
      <c r="A70" s="96" t="s">
        <v>153</v>
      </c>
      <c r="B70" s="98" t="s">
        <v>276</v>
      </c>
      <c r="C70" s="97" t="s">
        <v>158</v>
      </c>
      <c r="D70" s="103">
        <v>2802321</v>
      </c>
      <c r="E70" s="103">
        <v>0</v>
      </c>
      <c r="F70" s="103">
        <f>D70+E70</f>
        <v>2802321</v>
      </c>
      <c r="G70" s="103">
        <f>'По разделам 4'!I142</f>
        <v>2692316.84</v>
      </c>
      <c r="H70" s="103">
        <f>F70+G70</f>
        <v>5494637.8399999999</v>
      </c>
      <c r="I70" s="103">
        <v>1035150</v>
      </c>
      <c r="J70" s="103">
        <v>0</v>
      </c>
      <c r="K70" s="103">
        <f>I70+J70</f>
        <v>1035150</v>
      </c>
      <c r="L70" s="103">
        <v>1035150</v>
      </c>
      <c r="M70" s="103">
        <v>0</v>
      </c>
      <c r="N70" s="103">
        <f>L70+M70</f>
        <v>1035150</v>
      </c>
    </row>
    <row r="71" spans="1:14" x14ac:dyDescent="0.25">
      <c r="A71" s="34" t="s">
        <v>341</v>
      </c>
      <c r="B71" s="36" t="s">
        <v>342</v>
      </c>
      <c r="C71" s="35" t="s">
        <v>0</v>
      </c>
      <c r="D71" s="43">
        <f>D72</f>
        <v>3180683</v>
      </c>
      <c r="E71" s="43">
        <f>E72</f>
        <v>0</v>
      </c>
      <c r="F71" s="43">
        <f>F72</f>
        <v>3180683</v>
      </c>
      <c r="G71" s="43">
        <f>G72</f>
        <v>0</v>
      </c>
      <c r="H71" s="43">
        <f>H72</f>
        <v>3180683</v>
      </c>
      <c r="I71" s="43">
        <f t="shared" ref="I71:L71" si="32">I72</f>
        <v>3180683</v>
      </c>
      <c r="J71" s="43">
        <f>J72</f>
        <v>0</v>
      </c>
      <c r="K71" s="43">
        <f>K72</f>
        <v>3180683</v>
      </c>
      <c r="L71" s="43">
        <f t="shared" si="32"/>
        <v>3307910</v>
      </c>
      <c r="M71" s="43">
        <f>M72</f>
        <v>0</v>
      </c>
      <c r="N71" s="43">
        <f>N72</f>
        <v>3307910</v>
      </c>
    </row>
    <row r="72" spans="1:14" x14ac:dyDescent="0.25">
      <c r="A72" s="96" t="s">
        <v>343</v>
      </c>
      <c r="B72" s="98" t="s">
        <v>342</v>
      </c>
      <c r="C72" s="97" t="s">
        <v>344</v>
      </c>
      <c r="D72" s="103">
        <v>3180683</v>
      </c>
      <c r="E72" s="103">
        <v>0</v>
      </c>
      <c r="F72" s="103">
        <f>D72+E72</f>
        <v>3180683</v>
      </c>
      <c r="G72" s="103">
        <v>0</v>
      </c>
      <c r="H72" s="103">
        <f>F72+G72</f>
        <v>3180683</v>
      </c>
      <c r="I72" s="103">
        <v>3180683</v>
      </c>
      <c r="J72" s="103">
        <v>0</v>
      </c>
      <c r="K72" s="103">
        <f>I72+J72</f>
        <v>3180683</v>
      </c>
      <c r="L72" s="103">
        <v>3307910</v>
      </c>
      <c r="M72" s="103">
        <v>0</v>
      </c>
      <c r="N72" s="103">
        <f>L72+M72</f>
        <v>3307910</v>
      </c>
    </row>
    <row r="73" spans="1:14" ht="14.25" customHeight="1" x14ac:dyDescent="0.25">
      <c r="A73" s="48" t="s">
        <v>278</v>
      </c>
      <c r="B73" s="36" t="s">
        <v>279</v>
      </c>
      <c r="C73" s="36" t="s">
        <v>0</v>
      </c>
      <c r="D73" s="43">
        <f>D74+D75+D76</f>
        <v>6002092</v>
      </c>
      <c r="E73" s="43">
        <f t="shared" ref="E73:H73" si="33">E74+E75+E76</f>
        <v>3236998.49</v>
      </c>
      <c r="F73" s="43">
        <f t="shared" si="33"/>
        <v>9239090.4900000002</v>
      </c>
      <c r="G73" s="43">
        <f t="shared" si="33"/>
        <v>3275065.08</v>
      </c>
      <c r="H73" s="43">
        <f t="shared" si="33"/>
        <v>12514155.57</v>
      </c>
      <c r="I73" s="43">
        <v>2891121</v>
      </c>
      <c r="J73" s="43">
        <f t="shared" ref="J73:K73" si="34">J74+J75+J76</f>
        <v>0</v>
      </c>
      <c r="K73" s="43">
        <f t="shared" si="34"/>
        <v>2891121</v>
      </c>
      <c r="L73" s="43">
        <v>2994121</v>
      </c>
      <c r="M73" s="43">
        <f t="shared" ref="M73:N73" si="35">M74+M75+M76</f>
        <v>0</v>
      </c>
      <c r="N73" s="43">
        <f t="shared" si="35"/>
        <v>2994121</v>
      </c>
    </row>
    <row r="74" spans="1:14" ht="12.75" customHeight="1" x14ac:dyDescent="0.25">
      <c r="A74" s="96" t="s">
        <v>153</v>
      </c>
      <c r="B74" s="98" t="s">
        <v>279</v>
      </c>
      <c r="C74" s="97" t="s">
        <v>158</v>
      </c>
      <c r="D74" s="103">
        <v>2994121</v>
      </c>
      <c r="E74" s="103">
        <v>181761.1</v>
      </c>
      <c r="F74" s="103">
        <f>D74+E74</f>
        <v>3175882.1</v>
      </c>
      <c r="G74" s="103">
        <f>'По разделам 4'!I147</f>
        <v>75435.100000000006</v>
      </c>
      <c r="H74" s="103">
        <f>F74+G74</f>
        <v>3251317.2</v>
      </c>
      <c r="I74" s="103">
        <v>2891121</v>
      </c>
      <c r="J74" s="103">
        <v>0</v>
      </c>
      <c r="K74" s="103">
        <f>I74+J74</f>
        <v>2891121</v>
      </c>
      <c r="L74" s="103">
        <v>2994121</v>
      </c>
      <c r="M74" s="103">
        <v>0</v>
      </c>
      <c r="N74" s="103">
        <f>L74+M74</f>
        <v>2994121</v>
      </c>
    </row>
    <row r="75" spans="1:14" x14ac:dyDescent="0.25">
      <c r="A75" s="96" t="s">
        <v>169</v>
      </c>
      <c r="B75" s="98" t="s">
        <v>279</v>
      </c>
      <c r="C75" s="97" t="s">
        <v>171</v>
      </c>
      <c r="D75" s="103">
        <v>0</v>
      </c>
      <c r="E75" s="103">
        <v>0</v>
      </c>
      <c r="F75" s="103">
        <f>D75+E75</f>
        <v>0</v>
      </c>
      <c r="G75" s="103">
        <f>'По разделам 4'!I148</f>
        <v>0</v>
      </c>
      <c r="H75" s="103">
        <f>F75+G75</f>
        <v>0</v>
      </c>
      <c r="I75" s="103">
        <v>0</v>
      </c>
      <c r="J75" s="103">
        <v>0</v>
      </c>
      <c r="K75" s="103">
        <f>I75+J75</f>
        <v>0</v>
      </c>
      <c r="L75" s="103">
        <v>0</v>
      </c>
      <c r="M75" s="103">
        <v>0</v>
      </c>
      <c r="N75" s="103">
        <f>L75+M75</f>
        <v>0</v>
      </c>
    </row>
    <row r="76" spans="1:14" x14ac:dyDescent="0.25">
      <c r="A76" s="96" t="s">
        <v>172</v>
      </c>
      <c r="B76" s="98" t="s">
        <v>279</v>
      </c>
      <c r="C76" s="97" t="s">
        <v>173</v>
      </c>
      <c r="D76" s="103">
        <v>3007971</v>
      </c>
      <c r="E76" s="44">
        <v>3055237.39</v>
      </c>
      <c r="F76" s="103">
        <f>D76+E76</f>
        <v>6063208.3900000006</v>
      </c>
      <c r="G76" s="103">
        <f>'По разделам 4'!I149</f>
        <v>3199629.98</v>
      </c>
      <c r="H76" s="103">
        <f>F76+G76</f>
        <v>9262838.370000001</v>
      </c>
      <c r="I76" s="103">
        <v>0</v>
      </c>
      <c r="J76" s="44">
        <v>0</v>
      </c>
      <c r="K76" s="103">
        <f>I76+J76</f>
        <v>0</v>
      </c>
      <c r="L76" s="103">
        <v>0</v>
      </c>
      <c r="M76" s="44">
        <v>0</v>
      </c>
      <c r="N76" s="103">
        <f>L76+M76</f>
        <v>0</v>
      </c>
    </row>
    <row r="77" spans="1:14" ht="24" x14ac:dyDescent="0.25">
      <c r="A77" s="89" t="s">
        <v>280</v>
      </c>
      <c r="B77" s="36" t="s">
        <v>281</v>
      </c>
      <c r="C77" s="35" t="s">
        <v>0</v>
      </c>
      <c r="D77" s="43">
        <f>D78</f>
        <v>14119729.129999999</v>
      </c>
      <c r="E77" s="43">
        <f t="shared" ref="E77:N77" si="36">E78</f>
        <v>0</v>
      </c>
      <c r="F77" s="43">
        <f t="shared" si="36"/>
        <v>14119729.129999999</v>
      </c>
      <c r="G77" s="43">
        <f t="shared" si="36"/>
        <v>0</v>
      </c>
      <c r="H77" s="43">
        <f t="shared" si="36"/>
        <v>14119729.129999999</v>
      </c>
      <c r="I77" s="43">
        <v>0</v>
      </c>
      <c r="J77" s="43">
        <f t="shared" si="36"/>
        <v>0</v>
      </c>
      <c r="K77" s="43">
        <f t="shared" si="36"/>
        <v>0</v>
      </c>
      <c r="L77" s="43">
        <v>0</v>
      </c>
      <c r="M77" s="43">
        <f t="shared" si="36"/>
        <v>0</v>
      </c>
      <c r="N77" s="43">
        <f t="shared" si="36"/>
        <v>0</v>
      </c>
    </row>
    <row r="78" spans="1:14" x14ac:dyDescent="0.25">
      <c r="A78" s="96" t="s">
        <v>153</v>
      </c>
      <c r="B78" s="50" t="s">
        <v>282</v>
      </c>
      <c r="C78" s="97">
        <v>200</v>
      </c>
      <c r="D78" s="103">
        <v>14119729.129999999</v>
      </c>
      <c r="E78" s="103">
        <v>0</v>
      </c>
      <c r="F78" s="103">
        <f>D78+E78</f>
        <v>14119729.129999999</v>
      </c>
      <c r="G78" s="103">
        <v>0</v>
      </c>
      <c r="H78" s="103">
        <f>F78+G78</f>
        <v>14119729.129999999</v>
      </c>
      <c r="I78" s="103">
        <v>0</v>
      </c>
      <c r="J78" s="103">
        <v>0</v>
      </c>
      <c r="K78" s="103">
        <f>I78+J78</f>
        <v>0</v>
      </c>
      <c r="L78" s="103">
        <v>0</v>
      </c>
      <c r="M78" s="103">
        <v>0</v>
      </c>
      <c r="N78" s="103">
        <f>L78+M78</f>
        <v>0</v>
      </c>
    </row>
    <row r="79" spans="1:14" ht="13.5" customHeight="1" x14ac:dyDescent="0.25">
      <c r="A79" s="34" t="s">
        <v>283</v>
      </c>
      <c r="B79" s="36" t="s">
        <v>284</v>
      </c>
      <c r="C79" s="35"/>
      <c r="D79" s="43">
        <f>D81+D80</f>
        <v>4893257.74</v>
      </c>
      <c r="E79" s="43">
        <f t="shared" ref="E79:N79" si="37">E81+E80</f>
        <v>112128402.33</v>
      </c>
      <c r="F79" s="43">
        <f t="shared" si="37"/>
        <v>117021660.06999999</v>
      </c>
      <c r="G79" s="43">
        <f t="shared" si="37"/>
        <v>-4792796.91</v>
      </c>
      <c r="H79" s="43">
        <f t="shared" si="37"/>
        <v>112228863.16</v>
      </c>
      <c r="I79" s="43">
        <f t="shared" si="37"/>
        <v>0</v>
      </c>
      <c r="J79" s="43">
        <f t="shared" si="37"/>
        <v>0</v>
      </c>
      <c r="K79" s="43">
        <f t="shared" si="37"/>
        <v>0</v>
      </c>
      <c r="L79" s="43">
        <f t="shared" si="37"/>
        <v>0</v>
      </c>
      <c r="M79" s="43">
        <f t="shared" si="37"/>
        <v>0</v>
      </c>
      <c r="N79" s="43">
        <f t="shared" si="37"/>
        <v>0</v>
      </c>
    </row>
    <row r="80" spans="1:14" s="90" customFormat="1" ht="13.5" customHeight="1" x14ac:dyDescent="0.25">
      <c r="A80" s="66" t="s">
        <v>153</v>
      </c>
      <c r="B80" s="50" t="s">
        <v>284</v>
      </c>
      <c r="C80" s="49">
        <v>200</v>
      </c>
      <c r="D80" s="51">
        <v>0</v>
      </c>
      <c r="E80" s="51">
        <v>1500000</v>
      </c>
      <c r="F80" s="51">
        <f>D80+E80</f>
        <v>1500000</v>
      </c>
      <c r="G80" s="51">
        <f>'По разделам 4'!I153</f>
        <v>0</v>
      </c>
      <c r="H80" s="51">
        <f>F80+G80</f>
        <v>1500000</v>
      </c>
      <c r="I80" s="51">
        <v>0</v>
      </c>
      <c r="J80" s="51">
        <v>0</v>
      </c>
      <c r="K80" s="51">
        <f>I80+J80</f>
        <v>0</v>
      </c>
      <c r="L80" s="51">
        <v>0</v>
      </c>
      <c r="M80" s="51">
        <v>0</v>
      </c>
      <c r="N80" s="51">
        <f>L80+M80</f>
        <v>0</v>
      </c>
    </row>
    <row r="81" spans="1:14" ht="14.25" customHeight="1" x14ac:dyDescent="0.25">
      <c r="A81" s="96" t="s">
        <v>169</v>
      </c>
      <c r="B81" s="50" t="s">
        <v>284</v>
      </c>
      <c r="C81" s="97">
        <v>400</v>
      </c>
      <c r="D81" s="103">
        <v>4893257.74</v>
      </c>
      <c r="E81" s="103">
        <f>42134937.3+68493465.03</f>
        <v>110628402.33</v>
      </c>
      <c r="F81" s="103">
        <f>D81+E81</f>
        <v>115521660.06999999</v>
      </c>
      <c r="G81" s="51">
        <f>'По разделам 4'!I154</f>
        <v>-4792796.91</v>
      </c>
      <c r="H81" s="103">
        <f>F81+G81</f>
        <v>110728863.16</v>
      </c>
      <c r="I81" s="103">
        <v>0</v>
      </c>
      <c r="J81" s="103">
        <v>0</v>
      </c>
      <c r="K81" s="103">
        <f>I81+J81</f>
        <v>0</v>
      </c>
      <c r="L81" s="103">
        <v>0</v>
      </c>
      <c r="M81" s="103">
        <v>0</v>
      </c>
      <c r="N81" s="103">
        <f>L81+M81</f>
        <v>0</v>
      </c>
    </row>
    <row r="82" spans="1:14" ht="14.25" customHeight="1" x14ac:dyDescent="0.25">
      <c r="A82" s="34" t="s">
        <v>285</v>
      </c>
      <c r="B82" s="36" t="s">
        <v>286</v>
      </c>
      <c r="C82" s="35"/>
      <c r="D82" s="43">
        <f>D83</f>
        <v>3106742.26</v>
      </c>
      <c r="E82" s="43">
        <f t="shared" ref="E82:N82" si="38">E83</f>
        <v>0</v>
      </c>
      <c r="F82" s="43">
        <f t="shared" si="38"/>
        <v>3106742.26</v>
      </c>
      <c r="G82" s="43">
        <f t="shared" si="38"/>
        <v>-3106742.26</v>
      </c>
      <c r="H82" s="43">
        <f t="shared" si="38"/>
        <v>0</v>
      </c>
      <c r="I82" s="43">
        <v>0</v>
      </c>
      <c r="J82" s="43">
        <f t="shared" si="38"/>
        <v>0</v>
      </c>
      <c r="K82" s="43">
        <f t="shared" si="38"/>
        <v>0</v>
      </c>
      <c r="L82" s="43">
        <v>0</v>
      </c>
      <c r="M82" s="43">
        <f t="shared" si="38"/>
        <v>0</v>
      </c>
      <c r="N82" s="43">
        <f t="shared" si="38"/>
        <v>0</v>
      </c>
    </row>
    <row r="83" spans="1:14" x14ac:dyDescent="0.25">
      <c r="A83" s="96" t="s">
        <v>169</v>
      </c>
      <c r="B83" s="50" t="s">
        <v>286</v>
      </c>
      <c r="C83" s="97">
        <v>400</v>
      </c>
      <c r="D83" s="103">
        <v>3106742.26</v>
      </c>
      <c r="E83" s="103">
        <v>0</v>
      </c>
      <c r="F83" s="103">
        <f>D83+E83</f>
        <v>3106742.26</v>
      </c>
      <c r="G83" s="51">
        <f>'По разделам 4'!I156</f>
        <v>-3106742.26</v>
      </c>
      <c r="H83" s="103">
        <f>F83+G83</f>
        <v>0</v>
      </c>
      <c r="I83" s="103">
        <v>0</v>
      </c>
      <c r="J83" s="103">
        <v>0</v>
      </c>
      <c r="K83" s="103">
        <f>I83+J83</f>
        <v>0</v>
      </c>
      <c r="L83" s="103">
        <v>0</v>
      </c>
      <c r="M83" s="103">
        <v>0</v>
      </c>
      <c r="N83" s="103">
        <f>L83+M83</f>
        <v>0</v>
      </c>
    </row>
    <row r="84" spans="1:14" x14ac:dyDescent="0.25">
      <c r="A84" s="87" t="s">
        <v>250</v>
      </c>
      <c r="B84" s="32" t="s">
        <v>251</v>
      </c>
      <c r="C84" s="31" t="s">
        <v>0</v>
      </c>
      <c r="D84" s="42">
        <f>D88+D85</f>
        <v>162697289.08300003</v>
      </c>
      <c r="E84" s="42">
        <f>E88+E85</f>
        <v>243720507.66</v>
      </c>
      <c r="F84" s="42">
        <f>F88+F85</f>
        <v>406417796.74299997</v>
      </c>
      <c r="G84" s="42">
        <f>G88+G85</f>
        <v>-36495754.450000003</v>
      </c>
      <c r="H84" s="42">
        <f>H88+H85</f>
        <v>369922042.29299986</v>
      </c>
      <c r="I84" s="42">
        <f>I88</f>
        <v>123086564.03700002</v>
      </c>
      <c r="J84" s="42">
        <f>J88+J85</f>
        <v>0</v>
      </c>
      <c r="K84" s="42">
        <f>K88+K85</f>
        <v>123086564.03700002</v>
      </c>
      <c r="L84" s="42">
        <f>L88</f>
        <v>130129126.54000001</v>
      </c>
      <c r="M84" s="42">
        <f>M88+M85</f>
        <v>0</v>
      </c>
      <c r="N84" s="42">
        <f>N88+N85</f>
        <v>130129126.54000001</v>
      </c>
    </row>
    <row r="85" spans="1:14" x14ac:dyDescent="0.25">
      <c r="A85" s="30" t="s">
        <v>288</v>
      </c>
      <c r="B85" s="32" t="s">
        <v>289</v>
      </c>
      <c r="C85" s="31" t="s">
        <v>0</v>
      </c>
      <c r="D85" s="42">
        <f t="shared" ref="D85:N86" si="39">D86</f>
        <v>1125000</v>
      </c>
      <c r="E85" s="42">
        <f t="shared" si="39"/>
        <v>4567811.45</v>
      </c>
      <c r="F85" s="42">
        <f t="shared" si="39"/>
        <v>5692811.4500000002</v>
      </c>
      <c r="G85" s="42">
        <f t="shared" si="39"/>
        <v>0</v>
      </c>
      <c r="H85" s="42">
        <f t="shared" si="39"/>
        <v>5692811.4500000002</v>
      </c>
      <c r="I85" s="42">
        <f t="shared" si="39"/>
        <v>0</v>
      </c>
      <c r="J85" s="42">
        <f t="shared" si="39"/>
        <v>0</v>
      </c>
      <c r="K85" s="42">
        <f t="shared" si="39"/>
        <v>0</v>
      </c>
      <c r="L85" s="42">
        <f t="shared" si="39"/>
        <v>0</v>
      </c>
      <c r="M85" s="42">
        <f t="shared" si="39"/>
        <v>0</v>
      </c>
      <c r="N85" s="42">
        <f t="shared" si="39"/>
        <v>0</v>
      </c>
    </row>
    <row r="86" spans="1:14" x14ac:dyDescent="0.25">
      <c r="A86" s="34" t="s">
        <v>290</v>
      </c>
      <c r="B86" s="36" t="s">
        <v>289</v>
      </c>
      <c r="C86" s="35" t="s">
        <v>0</v>
      </c>
      <c r="D86" s="43">
        <f t="shared" si="39"/>
        <v>1125000</v>
      </c>
      <c r="E86" s="43">
        <f t="shared" si="39"/>
        <v>4567811.45</v>
      </c>
      <c r="F86" s="43">
        <f t="shared" si="39"/>
        <v>5692811.4500000002</v>
      </c>
      <c r="G86" s="43">
        <f t="shared" si="39"/>
        <v>0</v>
      </c>
      <c r="H86" s="43">
        <f t="shared" si="39"/>
        <v>5692811.4500000002</v>
      </c>
      <c r="I86" s="43">
        <f t="shared" si="39"/>
        <v>0</v>
      </c>
      <c r="J86" s="43">
        <f t="shared" si="39"/>
        <v>0</v>
      </c>
      <c r="K86" s="43">
        <f t="shared" si="39"/>
        <v>0</v>
      </c>
      <c r="L86" s="43">
        <f t="shared" si="39"/>
        <v>0</v>
      </c>
      <c r="M86" s="43">
        <f t="shared" si="39"/>
        <v>0</v>
      </c>
      <c r="N86" s="43">
        <f t="shared" si="39"/>
        <v>0</v>
      </c>
    </row>
    <row r="87" spans="1:14" x14ac:dyDescent="0.2">
      <c r="A87" s="96" t="s">
        <v>153</v>
      </c>
      <c r="B87" s="98" t="s">
        <v>289</v>
      </c>
      <c r="C87" s="97" t="s">
        <v>158</v>
      </c>
      <c r="D87" s="103">
        <v>1125000</v>
      </c>
      <c r="E87" s="91">
        <v>4567811.45</v>
      </c>
      <c r="F87" s="103">
        <f>D87+E87</f>
        <v>5692811.4500000002</v>
      </c>
      <c r="G87" s="91">
        <v>0</v>
      </c>
      <c r="H87" s="103">
        <f>F87+G87</f>
        <v>5692811.4500000002</v>
      </c>
      <c r="I87" s="103">
        <v>0</v>
      </c>
      <c r="J87" s="91">
        <v>0</v>
      </c>
      <c r="K87" s="103">
        <f>I87+J87</f>
        <v>0</v>
      </c>
      <c r="L87" s="103">
        <v>0</v>
      </c>
      <c r="M87" s="91">
        <v>0</v>
      </c>
      <c r="N87" s="103">
        <f>L87+M87</f>
        <v>0</v>
      </c>
    </row>
    <row r="88" spans="1:14" ht="12.75" customHeight="1" x14ac:dyDescent="0.25">
      <c r="A88" s="30" t="s">
        <v>165</v>
      </c>
      <c r="B88" s="32" t="s">
        <v>252</v>
      </c>
      <c r="C88" s="31" t="s">
        <v>0</v>
      </c>
      <c r="D88" s="42">
        <f>D90+D92+D94+D97+D99+D102+D107+D115</f>
        <v>161572289.08300003</v>
      </c>
      <c r="E88" s="42">
        <f>E90+E92+E94+E97+E99+E102+E107+E115+E113+E111</f>
        <v>239152696.21000001</v>
      </c>
      <c r="F88" s="42">
        <f t="shared" ref="F88:L88" si="40">F90+F92+F94+F97+F99+F102+F107+F115+F113+F111</f>
        <v>400724985.29299998</v>
      </c>
      <c r="G88" s="42">
        <f>G90+G92+G94+G97+G99+G102+G107+G115+G113+G111</f>
        <v>-36495754.450000003</v>
      </c>
      <c r="H88" s="42">
        <f t="shared" ref="H88" si="41">H90+H92+H94+H97+H99+H102+H107+H115+H113+H111</f>
        <v>364229230.84299988</v>
      </c>
      <c r="I88" s="42">
        <f t="shared" si="40"/>
        <v>123086564.03700002</v>
      </c>
      <c r="J88" s="42">
        <f>J90+J92+J94+J97+J99+J102+J107+J115+J113+J111</f>
        <v>0</v>
      </c>
      <c r="K88" s="42">
        <f t="shared" ref="K88" si="42">K90+K92+K94+K97+K99+K102+K107+K115+K113+K111</f>
        <v>123086564.03700002</v>
      </c>
      <c r="L88" s="42">
        <f t="shared" si="40"/>
        <v>130129126.54000001</v>
      </c>
      <c r="M88" s="42">
        <f>M90+M92+M94+M97+M99+M102+M107+M115+M113+M111</f>
        <v>0</v>
      </c>
      <c r="N88" s="42">
        <f t="shared" ref="N88" si="43">N90+N92+N94+N97+N99+N102+N107+N115+N113+N111</f>
        <v>130129126.54000001</v>
      </c>
    </row>
    <row r="89" spans="1:14" hidden="1" x14ac:dyDescent="0.25">
      <c r="A89" s="96"/>
      <c r="B89" s="98"/>
      <c r="C89" s="97"/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</row>
    <row r="90" spans="1:14" x14ac:dyDescent="0.25">
      <c r="A90" s="34" t="s">
        <v>291</v>
      </c>
      <c r="B90" s="36" t="s">
        <v>292</v>
      </c>
      <c r="C90" s="35"/>
      <c r="D90" s="43">
        <f t="shared" ref="D90:N90" si="44">D91</f>
        <v>14372435.892999999</v>
      </c>
      <c r="E90" s="43">
        <f t="shared" si="44"/>
        <v>389811.13</v>
      </c>
      <c r="F90" s="43">
        <f t="shared" si="44"/>
        <v>14762247.023</v>
      </c>
      <c r="G90" s="43">
        <f t="shared" si="44"/>
        <v>0</v>
      </c>
      <c r="H90" s="43">
        <f t="shared" si="44"/>
        <v>14762247.023</v>
      </c>
      <c r="I90" s="43">
        <f t="shared" si="44"/>
        <v>13274985.487</v>
      </c>
      <c r="J90" s="43">
        <f t="shared" si="44"/>
        <v>0</v>
      </c>
      <c r="K90" s="43">
        <f t="shared" si="44"/>
        <v>13274985.487</v>
      </c>
      <c r="L90" s="43">
        <f t="shared" si="44"/>
        <v>13479543.75</v>
      </c>
      <c r="M90" s="43">
        <f t="shared" si="44"/>
        <v>0</v>
      </c>
      <c r="N90" s="43">
        <f t="shared" si="44"/>
        <v>13479543.75</v>
      </c>
    </row>
    <row r="91" spans="1:14" x14ac:dyDescent="0.25">
      <c r="A91" s="96" t="s">
        <v>153</v>
      </c>
      <c r="B91" s="98" t="s">
        <v>292</v>
      </c>
      <c r="C91" s="97">
        <v>200</v>
      </c>
      <c r="D91" s="103">
        <v>14372435.892999999</v>
      </c>
      <c r="E91" s="103">
        <v>389811.13</v>
      </c>
      <c r="F91" s="103">
        <f>D91+E91</f>
        <v>14762247.023</v>
      </c>
      <c r="G91" s="103">
        <v>0</v>
      </c>
      <c r="H91" s="103">
        <f>F91+G91</f>
        <v>14762247.023</v>
      </c>
      <c r="I91" s="103">
        <v>13274985.487</v>
      </c>
      <c r="J91" s="103">
        <v>0</v>
      </c>
      <c r="K91" s="103">
        <f>I91+J91</f>
        <v>13274985.487</v>
      </c>
      <c r="L91" s="103">
        <v>13479543.75</v>
      </c>
      <c r="M91" s="103">
        <v>0</v>
      </c>
      <c r="N91" s="103">
        <f>L91+M91</f>
        <v>13479543.75</v>
      </c>
    </row>
    <row r="92" spans="1:14" x14ac:dyDescent="0.25">
      <c r="A92" s="96" t="s">
        <v>293</v>
      </c>
      <c r="B92" s="36" t="s">
        <v>294</v>
      </c>
      <c r="C92" s="35" t="s">
        <v>0</v>
      </c>
      <c r="D92" s="43">
        <f t="shared" ref="D92:N92" si="45">D93</f>
        <v>4000000</v>
      </c>
      <c r="E92" s="43">
        <f t="shared" si="45"/>
        <v>9009000</v>
      </c>
      <c r="F92" s="43">
        <f t="shared" si="45"/>
        <v>13009000</v>
      </c>
      <c r="G92" s="43">
        <f t="shared" si="45"/>
        <v>812903</v>
      </c>
      <c r="H92" s="43">
        <f t="shared" si="45"/>
        <v>13821903</v>
      </c>
      <c r="I92" s="43">
        <f t="shared" si="45"/>
        <v>0</v>
      </c>
      <c r="J92" s="43">
        <f t="shared" si="45"/>
        <v>0</v>
      </c>
      <c r="K92" s="43">
        <f t="shared" si="45"/>
        <v>0</v>
      </c>
      <c r="L92" s="43">
        <f t="shared" si="45"/>
        <v>2678000</v>
      </c>
      <c r="M92" s="43">
        <f t="shared" si="45"/>
        <v>0</v>
      </c>
      <c r="N92" s="43">
        <f t="shared" si="45"/>
        <v>2678000</v>
      </c>
    </row>
    <row r="93" spans="1:14" x14ac:dyDescent="0.25">
      <c r="A93" s="96" t="s">
        <v>153</v>
      </c>
      <c r="B93" s="98" t="s">
        <v>294</v>
      </c>
      <c r="C93" s="97" t="s">
        <v>158</v>
      </c>
      <c r="D93" s="103">
        <v>4000000</v>
      </c>
      <c r="E93" s="103">
        <v>9009000</v>
      </c>
      <c r="F93" s="103">
        <f>D93+E93</f>
        <v>13009000</v>
      </c>
      <c r="G93" s="51">
        <f>'По разделам 4'!I166</f>
        <v>812903</v>
      </c>
      <c r="H93" s="103">
        <f>F93+G93</f>
        <v>13821903</v>
      </c>
      <c r="I93" s="103">
        <v>0</v>
      </c>
      <c r="J93" s="103">
        <v>0</v>
      </c>
      <c r="K93" s="103">
        <f>I93+J93</f>
        <v>0</v>
      </c>
      <c r="L93" s="103">
        <v>2678000</v>
      </c>
      <c r="M93" s="103">
        <v>0</v>
      </c>
      <c r="N93" s="103">
        <f>L93+M93</f>
        <v>2678000</v>
      </c>
    </row>
    <row r="94" spans="1:14" ht="12.6" customHeight="1" x14ac:dyDescent="0.25">
      <c r="A94" s="34" t="s">
        <v>295</v>
      </c>
      <c r="B94" s="36" t="s">
        <v>296</v>
      </c>
      <c r="C94" s="35" t="s">
        <v>0</v>
      </c>
      <c r="D94" s="43">
        <f t="shared" ref="D94:N94" si="46">D96+D95</f>
        <v>5160135.26</v>
      </c>
      <c r="E94" s="43">
        <f t="shared" si="46"/>
        <v>1394593</v>
      </c>
      <c r="F94" s="43">
        <f t="shared" si="46"/>
        <v>6554728.2599999998</v>
      </c>
      <c r="G94" s="43">
        <f t="shared" si="46"/>
        <v>0</v>
      </c>
      <c r="H94" s="43">
        <f t="shared" si="46"/>
        <v>6554728.2599999998</v>
      </c>
      <c r="I94" s="43">
        <f t="shared" si="46"/>
        <v>5376860.9399999995</v>
      </c>
      <c r="J94" s="43">
        <f t="shared" si="46"/>
        <v>0</v>
      </c>
      <c r="K94" s="43">
        <f t="shared" si="46"/>
        <v>5376860.9399999995</v>
      </c>
      <c r="L94" s="43">
        <f t="shared" si="46"/>
        <v>5376860.9399999995</v>
      </c>
      <c r="M94" s="43">
        <f t="shared" si="46"/>
        <v>0</v>
      </c>
      <c r="N94" s="43">
        <f t="shared" si="46"/>
        <v>5376860.9399999995</v>
      </c>
    </row>
    <row r="95" spans="1:14" hidden="1" x14ac:dyDescent="0.25">
      <c r="A95" s="96" t="s">
        <v>153</v>
      </c>
      <c r="B95" s="98" t="s">
        <v>296</v>
      </c>
      <c r="C95" s="97" t="s">
        <v>158</v>
      </c>
      <c r="D95" s="51">
        <v>0</v>
      </c>
      <c r="E95" s="51">
        <v>0</v>
      </c>
      <c r="F95" s="103">
        <f>D95+E95</f>
        <v>0</v>
      </c>
      <c r="G95" s="51">
        <v>0</v>
      </c>
      <c r="H95" s="103">
        <f>F95+G95</f>
        <v>0</v>
      </c>
      <c r="I95" s="51">
        <v>0</v>
      </c>
      <c r="J95" s="51">
        <v>0</v>
      </c>
      <c r="K95" s="103">
        <f>I95+J95</f>
        <v>0</v>
      </c>
      <c r="L95" s="51">
        <v>0</v>
      </c>
      <c r="M95" s="51">
        <v>0</v>
      </c>
      <c r="N95" s="103">
        <f>L95+M95</f>
        <v>0</v>
      </c>
    </row>
    <row r="96" spans="1:14" x14ac:dyDescent="0.25">
      <c r="A96" s="66" t="s">
        <v>297</v>
      </c>
      <c r="B96" s="98" t="s">
        <v>296</v>
      </c>
      <c r="C96" s="98" t="s">
        <v>298</v>
      </c>
      <c r="D96" s="103">
        <v>5160135.26</v>
      </c>
      <c r="E96" s="44">
        <v>1394593</v>
      </c>
      <c r="F96" s="103">
        <f>D96+E96</f>
        <v>6554728.2599999998</v>
      </c>
      <c r="G96" s="44">
        <v>0</v>
      </c>
      <c r="H96" s="103">
        <f>F96+G96</f>
        <v>6554728.2599999998</v>
      </c>
      <c r="I96" s="103">
        <v>5376860.9399999995</v>
      </c>
      <c r="J96" s="44">
        <v>0</v>
      </c>
      <c r="K96" s="103">
        <f>I96+J96</f>
        <v>5376860.9399999995</v>
      </c>
      <c r="L96" s="103">
        <v>5376860.9399999995</v>
      </c>
      <c r="M96" s="44">
        <v>0</v>
      </c>
      <c r="N96" s="103">
        <f>L96+M96</f>
        <v>5376860.9399999995</v>
      </c>
    </row>
    <row r="97" spans="1:14" x14ac:dyDescent="0.25">
      <c r="A97" s="34" t="s">
        <v>299</v>
      </c>
      <c r="B97" s="36" t="s">
        <v>300</v>
      </c>
      <c r="C97" s="35" t="s">
        <v>0</v>
      </c>
      <c r="D97" s="43">
        <f t="shared" ref="D97:N97" si="47">D98</f>
        <v>19092615.09</v>
      </c>
      <c r="E97" s="43">
        <f t="shared" si="47"/>
        <v>1466294.73</v>
      </c>
      <c r="F97" s="43">
        <f t="shared" si="47"/>
        <v>20558909.82</v>
      </c>
      <c r="G97" s="43">
        <f t="shared" si="47"/>
        <v>0</v>
      </c>
      <c r="H97" s="43">
        <f t="shared" si="47"/>
        <v>20558909.82</v>
      </c>
      <c r="I97" s="43">
        <f t="shared" si="47"/>
        <v>19092615.09</v>
      </c>
      <c r="J97" s="43">
        <f t="shared" si="47"/>
        <v>0</v>
      </c>
      <c r="K97" s="43">
        <f t="shared" si="47"/>
        <v>19092615.09</v>
      </c>
      <c r="L97" s="43">
        <f t="shared" si="47"/>
        <v>19287666.829999998</v>
      </c>
      <c r="M97" s="43">
        <f t="shared" si="47"/>
        <v>0</v>
      </c>
      <c r="N97" s="43">
        <f t="shared" si="47"/>
        <v>19287666.829999998</v>
      </c>
    </row>
    <row r="98" spans="1:14" x14ac:dyDescent="0.25">
      <c r="A98" s="96" t="s">
        <v>153</v>
      </c>
      <c r="B98" s="98" t="s">
        <v>300</v>
      </c>
      <c r="C98" s="97" t="s">
        <v>158</v>
      </c>
      <c r="D98" s="103">
        <v>19092615.09</v>
      </c>
      <c r="E98" s="103">
        <f>905000+561294.73</f>
        <v>1466294.73</v>
      </c>
      <c r="F98" s="103">
        <f>D98+E98</f>
        <v>20558909.82</v>
      </c>
      <c r="G98" s="103">
        <v>0</v>
      </c>
      <c r="H98" s="103">
        <f>F98+G98</f>
        <v>20558909.82</v>
      </c>
      <c r="I98" s="103">
        <v>19092615.09</v>
      </c>
      <c r="J98" s="103">
        <v>0</v>
      </c>
      <c r="K98" s="103">
        <f>I98+J98</f>
        <v>19092615.09</v>
      </c>
      <c r="L98" s="103">
        <v>19287666.829999998</v>
      </c>
      <c r="M98" s="103">
        <v>0</v>
      </c>
      <c r="N98" s="103">
        <f>L98+M98</f>
        <v>19287666.829999998</v>
      </c>
    </row>
    <row r="99" spans="1:14" x14ac:dyDescent="0.25">
      <c r="A99" s="34" t="s">
        <v>253</v>
      </c>
      <c r="B99" s="36" t="s">
        <v>254</v>
      </c>
      <c r="C99" s="35" t="s">
        <v>0</v>
      </c>
      <c r="D99" s="43">
        <f>D100+D101</f>
        <v>92105970.360000014</v>
      </c>
      <c r="E99" s="43">
        <f t="shared" ref="E99:N99" si="48">E100+E101</f>
        <v>35284564.75</v>
      </c>
      <c r="F99" s="43">
        <f t="shared" si="48"/>
        <v>127390535.11000001</v>
      </c>
      <c r="G99" s="43">
        <f t="shared" si="48"/>
        <v>3726691.14</v>
      </c>
      <c r="H99" s="43">
        <f t="shared" si="48"/>
        <v>131117226.25</v>
      </c>
      <c r="I99" s="43">
        <f t="shared" si="48"/>
        <v>80200859.930000007</v>
      </c>
      <c r="J99" s="43">
        <f t="shared" si="48"/>
        <v>0</v>
      </c>
      <c r="K99" s="43">
        <f t="shared" si="48"/>
        <v>80200859.930000007</v>
      </c>
      <c r="L99" s="43">
        <f t="shared" si="48"/>
        <v>80200859.930000007</v>
      </c>
      <c r="M99" s="43">
        <f t="shared" si="48"/>
        <v>0</v>
      </c>
      <c r="N99" s="43">
        <f t="shared" si="48"/>
        <v>80200859.930000007</v>
      </c>
    </row>
    <row r="100" spans="1:14" x14ac:dyDescent="0.25">
      <c r="A100" s="96" t="s">
        <v>153</v>
      </c>
      <c r="B100" s="98" t="s">
        <v>254</v>
      </c>
      <c r="C100" s="97" t="s">
        <v>158</v>
      </c>
      <c r="D100" s="103">
        <v>92105970.360000014</v>
      </c>
      <c r="E100" s="44">
        <v>5299.52</v>
      </c>
      <c r="F100" s="103">
        <f>D100+E100</f>
        <v>92111269.88000001</v>
      </c>
      <c r="G100" s="44">
        <f>'По разделам 4'!I117</f>
        <v>3726691.14</v>
      </c>
      <c r="H100" s="103">
        <f>F100+G100</f>
        <v>95837961.020000011</v>
      </c>
      <c r="I100" s="116">
        <v>80200859.930000007</v>
      </c>
      <c r="J100" s="44">
        <v>0</v>
      </c>
      <c r="K100" s="103">
        <f>I100+J100</f>
        <v>80200859.930000007</v>
      </c>
      <c r="L100" s="1">
        <v>80200859.930000007</v>
      </c>
      <c r="M100" s="44">
        <v>0</v>
      </c>
      <c r="N100" s="103">
        <f>L100+M100</f>
        <v>80200859.930000007</v>
      </c>
    </row>
    <row r="101" spans="1:14" x14ac:dyDescent="0.25">
      <c r="A101" s="66" t="s">
        <v>169</v>
      </c>
      <c r="B101" s="98" t="s">
        <v>254</v>
      </c>
      <c r="C101" s="97">
        <v>400</v>
      </c>
      <c r="D101" s="103">
        <v>0</v>
      </c>
      <c r="E101" s="103">
        <v>35279265.229999997</v>
      </c>
      <c r="F101" s="106">
        <f>D101+E101</f>
        <v>35279265.229999997</v>
      </c>
      <c r="G101" s="103">
        <v>0</v>
      </c>
      <c r="H101" s="106">
        <f>F101+G101</f>
        <v>35279265.229999997</v>
      </c>
      <c r="I101" s="1">
        <v>0</v>
      </c>
      <c r="J101" s="103">
        <v>0</v>
      </c>
      <c r="K101" s="106">
        <f>I101+J101</f>
        <v>0</v>
      </c>
      <c r="L101" s="117">
        <v>0</v>
      </c>
      <c r="M101" s="103">
        <v>0</v>
      </c>
      <c r="N101" s="106">
        <f>L101+M101</f>
        <v>0</v>
      </c>
    </row>
    <row r="102" spans="1:14" x14ac:dyDescent="0.25">
      <c r="A102" s="34" t="s">
        <v>301</v>
      </c>
      <c r="B102" s="36" t="s">
        <v>302</v>
      </c>
      <c r="C102" s="35" t="s">
        <v>0</v>
      </c>
      <c r="D102" s="43">
        <f>D103+D104+D105+D106</f>
        <v>20942536.330000002</v>
      </c>
      <c r="E102" s="43">
        <f t="shared" ref="E102:N102" si="49">E103+E104+E105+E106</f>
        <v>73234391.010000005</v>
      </c>
      <c r="F102" s="43">
        <f t="shared" si="49"/>
        <v>94176927.340000018</v>
      </c>
      <c r="G102" s="43">
        <f t="shared" si="49"/>
        <v>-1700000</v>
      </c>
      <c r="H102" s="43">
        <f t="shared" si="49"/>
        <v>92476927.340000004</v>
      </c>
      <c r="I102" s="43">
        <f t="shared" si="49"/>
        <v>3641242.59</v>
      </c>
      <c r="J102" s="43">
        <f t="shared" si="49"/>
        <v>0</v>
      </c>
      <c r="K102" s="43">
        <f t="shared" si="49"/>
        <v>3641242.59</v>
      </c>
      <c r="L102" s="43">
        <f t="shared" si="49"/>
        <v>7606195.0899999999</v>
      </c>
      <c r="M102" s="43">
        <f t="shared" si="49"/>
        <v>0</v>
      </c>
      <c r="N102" s="43">
        <f t="shared" si="49"/>
        <v>7606195.0899999999</v>
      </c>
    </row>
    <row r="103" spans="1:14" x14ac:dyDescent="0.25">
      <c r="A103" s="96" t="s">
        <v>153</v>
      </c>
      <c r="B103" s="98" t="s">
        <v>302</v>
      </c>
      <c r="C103" s="97" t="s">
        <v>158</v>
      </c>
      <c r="D103" s="103">
        <v>16586261.779999999</v>
      </c>
      <c r="E103" s="44">
        <v>70142748.260000005</v>
      </c>
      <c r="F103" s="103">
        <f>D103+E103</f>
        <v>86729010.040000007</v>
      </c>
      <c r="G103" s="44">
        <f>'По разделам 4'!I173</f>
        <v>1391642.7499999998</v>
      </c>
      <c r="H103" s="103">
        <f>F103+G103</f>
        <v>88120652.790000007</v>
      </c>
      <c r="I103" s="103">
        <v>3641242.59</v>
      </c>
      <c r="J103" s="44">
        <v>0</v>
      </c>
      <c r="K103" s="103">
        <f>I103+J103</f>
        <v>3641242.59</v>
      </c>
      <c r="L103" s="103">
        <v>7056195.0899999999</v>
      </c>
      <c r="M103" s="44">
        <v>0</v>
      </c>
      <c r="N103" s="103">
        <f>L103+M103</f>
        <v>7056195.0899999999</v>
      </c>
    </row>
    <row r="104" spans="1:14" x14ac:dyDescent="0.25">
      <c r="A104" s="96" t="s">
        <v>209</v>
      </c>
      <c r="B104" s="98" t="s">
        <v>302</v>
      </c>
      <c r="C104" s="97" t="s">
        <v>210</v>
      </c>
      <c r="D104" s="103">
        <v>550000</v>
      </c>
      <c r="E104" s="103">
        <v>0</v>
      </c>
      <c r="F104" s="103">
        <f>D104+E104</f>
        <v>550000</v>
      </c>
      <c r="G104" s="44">
        <f>'По разделам 4'!I174</f>
        <v>0</v>
      </c>
      <c r="H104" s="103">
        <f>F104+G104</f>
        <v>550000</v>
      </c>
      <c r="I104" s="103">
        <v>0</v>
      </c>
      <c r="J104" s="103">
        <v>0</v>
      </c>
      <c r="K104" s="103">
        <f>I104+J104</f>
        <v>0</v>
      </c>
      <c r="L104" s="103">
        <v>550000</v>
      </c>
      <c r="M104" s="103">
        <v>0</v>
      </c>
      <c r="N104" s="103">
        <f>L104+M104</f>
        <v>550000</v>
      </c>
    </row>
    <row r="105" spans="1:14" x14ac:dyDescent="0.25">
      <c r="A105" s="66" t="s">
        <v>169</v>
      </c>
      <c r="B105" s="98" t="s">
        <v>302</v>
      </c>
      <c r="C105" s="97" t="s">
        <v>171</v>
      </c>
      <c r="D105" s="103">
        <v>3806274.55</v>
      </c>
      <c r="E105" s="44">
        <v>556363.1</v>
      </c>
      <c r="F105" s="103">
        <f>D105+E105</f>
        <v>4362637.6499999994</v>
      </c>
      <c r="G105" s="44">
        <f>'По разделам 4'!I175</f>
        <v>-556363.1</v>
      </c>
      <c r="H105" s="103">
        <f>F105+G105</f>
        <v>3806274.5499999993</v>
      </c>
      <c r="I105" s="103">
        <v>0</v>
      </c>
      <c r="J105" s="44">
        <v>0</v>
      </c>
      <c r="K105" s="103">
        <f>I105+J105</f>
        <v>0</v>
      </c>
      <c r="L105" s="103">
        <v>0</v>
      </c>
      <c r="M105" s="44">
        <v>0</v>
      </c>
      <c r="N105" s="103">
        <f>L105+M105</f>
        <v>0</v>
      </c>
    </row>
    <row r="106" spans="1:14" x14ac:dyDescent="0.25">
      <c r="A106" s="66" t="s">
        <v>297</v>
      </c>
      <c r="B106" s="98" t="s">
        <v>302</v>
      </c>
      <c r="C106" s="97">
        <v>600</v>
      </c>
      <c r="D106" s="103">
        <v>0</v>
      </c>
      <c r="E106" s="44">
        <v>2535279.65</v>
      </c>
      <c r="F106" s="103">
        <f>D106+E106</f>
        <v>2535279.65</v>
      </c>
      <c r="G106" s="44">
        <f>'По разделам 4'!I176</f>
        <v>-2535279.65</v>
      </c>
      <c r="H106" s="103">
        <f>F106+G106</f>
        <v>0</v>
      </c>
      <c r="I106" s="103">
        <v>0</v>
      </c>
      <c r="J106" s="44">
        <v>0</v>
      </c>
      <c r="K106" s="103">
        <f>I106+J106</f>
        <v>0</v>
      </c>
      <c r="L106" s="103">
        <v>0</v>
      </c>
      <c r="M106" s="44">
        <v>0</v>
      </c>
      <c r="N106" s="103">
        <f>L106+M106</f>
        <v>0</v>
      </c>
    </row>
    <row r="107" spans="1:14" x14ac:dyDescent="0.25">
      <c r="A107" s="34" t="s">
        <v>303</v>
      </c>
      <c r="B107" s="36" t="s">
        <v>304</v>
      </c>
      <c r="C107" s="35"/>
      <c r="D107" s="43">
        <f>D108+D109+D110</f>
        <v>4164847</v>
      </c>
      <c r="E107" s="43">
        <f t="shared" ref="E107:N107" si="50">E108+E109+E110</f>
        <v>91143533.979999989</v>
      </c>
      <c r="F107" s="43">
        <f t="shared" si="50"/>
        <v>95308380.979999989</v>
      </c>
      <c r="G107" s="43">
        <f t="shared" si="50"/>
        <v>-26036596.050000004</v>
      </c>
      <c r="H107" s="43">
        <f t="shared" si="50"/>
        <v>69271784.929999977</v>
      </c>
      <c r="I107" s="43">
        <f t="shared" si="50"/>
        <v>0</v>
      </c>
      <c r="J107" s="43">
        <f t="shared" si="50"/>
        <v>0</v>
      </c>
      <c r="K107" s="43">
        <f t="shared" si="50"/>
        <v>0</v>
      </c>
      <c r="L107" s="43">
        <f t="shared" si="50"/>
        <v>0</v>
      </c>
      <c r="M107" s="43">
        <f t="shared" si="50"/>
        <v>0</v>
      </c>
      <c r="N107" s="43">
        <f t="shared" si="50"/>
        <v>0</v>
      </c>
    </row>
    <row r="108" spans="1:14" x14ac:dyDescent="0.25">
      <c r="A108" s="96" t="s">
        <v>153</v>
      </c>
      <c r="B108" s="98" t="s">
        <v>304</v>
      </c>
      <c r="C108" s="97">
        <v>200</v>
      </c>
      <c r="D108" s="103">
        <v>4164847</v>
      </c>
      <c r="E108" s="44">
        <v>29899504</v>
      </c>
      <c r="F108" s="103">
        <f>D108+E108</f>
        <v>34064351</v>
      </c>
      <c r="G108" s="44">
        <f>'По разделам 4'!I178</f>
        <v>12000000</v>
      </c>
      <c r="H108" s="103">
        <f>F108+G108</f>
        <v>46064351</v>
      </c>
      <c r="I108" s="103">
        <v>0</v>
      </c>
      <c r="J108" s="44">
        <v>0</v>
      </c>
      <c r="K108" s="103">
        <f>I108+J108</f>
        <v>0</v>
      </c>
      <c r="L108" s="103">
        <v>0</v>
      </c>
      <c r="M108" s="44">
        <v>0</v>
      </c>
      <c r="N108" s="103">
        <f>L108+M108</f>
        <v>0</v>
      </c>
    </row>
    <row r="109" spans="1:14" x14ac:dyDescent="0.25">
      <c r="A109" s="66" t="s">
        <v>169</v>
      </c>
      <c r="B109" s="98" t="s">
        <v>304</v>
      </c>
      <c r="C109" s="97">
        <v>400</v>
      </c>
      <c r="D109" s="103">
        <v>0</v>
      </c>
      <c r="E109" s="44">
        <v>31537267.579999998</v>
      </c>
      <c r="F109" s="103">
        <f>D109+E109</f>
        <v>31537267.579999998</v>
      </c>
      <c r="G109" s="44">
        <f>'По разделам 4'!I179</f>
        <v>-10472069.6</v>
      </c>
      <c r="H109" s="103">
        <f>F109+G109</f>
        <v>21065197.979999997</v>
      </c>
      <c r="I109" s="103">
        <v>0</v>
      </c>
      <c r="J109" s="44">
        <v>0</v>
      </c>
      <c r="K109" s="103">
        <f>I109+J109</f>
        <v>0</v>
      </c>
      <c r="L109" s="103">
        <v>0</v>
      </c>
      <c r="M109" s="44">
        <v>0</v>
      </c>
      <c r="N109" s="103">
        <f>L109+M109</f>
        <v>0</v>
      </c>
    </row>
    <row r="110" spans="1:14" ht="30" x14ac:dyDescent="0.25">
      <c r="A110" s="105" t="s">
        <v>305</v>
      </c>
      <c r="B110" s="98" t="s">
        <v>304</v>
      </c>
      <c r="C110" s="97">
        <v>600</v>
      </c>
      <c r="D110" s="103">
        <v>0</v>
      </c>
      <c r="E110" s="103">
        <f>990354.3+24279436.93+4436971.17</f>
        <v>29706762.399999999</v>
      </c>
      <c r="F110" s="103">
        <f>D110+E110</f>
        <v>29706762.399999999</v>
      </c>
      <c r="G110" s="44">
        <f>'По разделам 4'!I180</f>
        <v>-27564526.450000003</v>
      </c>
      <c r="H110" s="103">
        <f>F110+G110</f>
        <v>2142235.9499999955</v>
      </c>
      <c r="I110" s="103">
        <v>0</v>
      </c>
      <c r="J110" s="103">
        <v>0</v>
      </c>
      <c r="K110" s="103">
        <f>I110+J110</f>
        <v>0</v>
      </c>
      <c r="L110" s="103">
        <v>0</v>
      </c>
      <c r="M110" s="103">
        <v>0</v>
      </c>
      <c r="N110" s="103">
        <f>L110+M110</f>
        <v>0</v>
      </c>
    </row>
    <row r="111" spans="1:14" ht="27" x14ac:dyDescent="0.25">
      <c r="A111" s="34" t="s">
        <v>306</v>
      </c>
      <c r="B111" s="36" t="s">
        <v>307</v>
      </c>
      <c r="C111" s="111"/>
      <c r="D111" s="43">
        <f>D112</f>
        <v>0</v>
      </c>
      <c r="E111" s="43">
        <f t="shared" ref="E111:N111" si="51">E112</f>
        <v>6000000</v>
      </c>
      <c r="F111" s="43">
        <f t="shared" si="51"/>
        <v>6000000</v>
      </c>
      <c r="G111" s="43">
        <f t="shared" si="51"/>
        <v>701247.46</v>
      </c>
      <c r="H111" s="43">
        <f t="shared" si="51"/>
        <v>6701247.46</v>
      </c>
      <c r="I111" s="43">
        <f t="shared" si="51"/>
        <v>0</v>
      </c>
      <c r="J111" s="43">
        <f t="shared" si="51"/>
        <v>0</v>
      </c>
      <c r="K111" s="43">
        <f t="shared" si="51"/>
        <v>0</v>
      </c>
      <c r="L111" s="43">
        <f t="shared" si="51"/>
        <v>0</v>
      </c>
      <c r="M111" s="43">
        <f t="shared" si="51"/>
        <v>0</v>
      </c>
      <c r="N111" s="43">
        <f t="shared" si="51"/>
        <v>0</v>
      </c>
    </row>
    <row r="112" spans="1:14" x14ac:dyDescent="0.25">
      <c r="A112" s="96" t="s">
        <v>153</v>
      </c>
      <c r="B112" s="98" t="s">
        <v>307</v>
      </c>
      <c r="C112" s="111">
        <v>200</v>
      </c>
      <c r="D112" s="103">
        <v>0</v>
      </c>
      <c r="E112" s="44">
        <v>6000000</v>
      </c>
      <c r="F112" s="103">
        <f>D112+E112</f>
        <v>6000000</v>
      </c>
      <c r="G112" s="44">
        <f>'По разделам 4'!I182</f>
        <v>701247.46</v>
      </c>
      <c r="H112" s="103">
        <f>F112+G112</f>
        <v>6701247.46</v>
      </c>
      <c r="I112" s="103">
        <v>0</v>
      </c>
      <c r="J112" s="44">
        <v>0</v>
      </c>
      <c r="K112" s="103">
        <f>I112+J112</f>
        <v>0</v>
      </c>
      <c r="L112" s="103">
        <v>0</v>
      </c>
      <c r="M112" s="44">
        <v>0</v>
      </c>
      <c r="N112" s="103">
        <f>L112+M112</f>
        <v>0</v>
      </c>
    </row>
    <row r="113" spans="1:14" ht="40.5" x14ac:dyDescent="0.25">
      <c r="A113" s="34" t="s">
        <v>308</v>
      </c>
      <c r="B113" s="36" t="s">
        <v>309</v>
      </c>
      <c r="C113" s="71"/>
      <c r="D113" s="43">
        <f>D114</f>
        <v>0</v>
      </c>
      <c r="E113" s="43">
        <f t="shared" ref="E113:N113" si="52">E114</f>
        <v>21000000</v>
      </c>
      <c r="F113" s="43">
        <f t="shared" si="52"/>
        <v>21000000</v>
      </c>
      <c r="G113" s="43">
        <f t="shared" si="52"/>
        <v>-14000000</v>
      </c>
      <c r="H113" s="43">
        <f t="shared" si="52"/>
        <v>7000000</v>
      </c>
      <c r="I113" s="43">
        <f t="shared" si="52"/>
        <v>0</v>
      </c>
      <c r="J113" s="43">
        <f t="shared" si="52"/>
        <v>0</v>
      </c>
      <c r="K113" s="43">
        <f t="shared" si="52"/>
        <v>0</v>
      </c>
      <c r="L113" s="43">
        <f t="shared" si="52"/>
        <v>0</v>
      </c>
      <c r="M113" s="43">
        <f t="shared" si="52"/>
        <v>0</v>
      </c>
      <c r="N113" s="43">
        <f t="shared" si="52"/>
        <v>0</v>
      </c>
    </row>
    <row r="114" spans="1:14" x14ac:dyDescent="0.25">
      <c r="A114" s="96" t="s">
        <v>153</v>
      </c>
      <c r="B114" s="98" t="s">
        <v>309</v>
      </c>
      <c r="C114" s="98">
        <v>200</v>
      </c>
      <c r="D114" s="103">
        <v>0</v>
      </c>
      <c r="E114" s="44">
        <v>21000000</v>
      </c>
      <c r="F114" s="103">
        <f>D114+E114</f>
        <v>21000000</v>
      </c>
      <c r="G114" s="44">
        <f>'По разделам 4'!I184</f>
        <v>-14000000</v>
      </c>
      <c r="H114" s="103">
        <f>F114+G114</f>
        <v>7000000</v>
      </c>
      <c r="I114" s="103">
        <v>0</v>
      </c>
      <c r="J114" s="44">
        <v>0</v>
      </c>
      <c r="K114" s="103">
        <f>I114+J114</f>
        <v>0</v>
      </c>
      <c r="L114" s="103">
        <v>0</v>
      </c>
      <c r="M114" s="44">
        <v>0</v>
      </c>
      <c r="N114" s="103">
        <f>L114+M114</f>
        <v>0</v>
      </c>
    </row>
    <row r="115" spans="1:14" ht="27" x14ac:dyDescent="0.25">
      <c r="A115" s="34" t="s">
        <v>310</v>
      </c>
      <c r="B115" s="36" t="s">
        <v>311</v>
      </c>
      <c r="C115" s="35"/>
      <c r="D115" s="43">
        <f t="shared" ref="D115:N115" si="53">D116</f>
        <v>1733749.15</v>
      </c>
      <c r="E115" s="43">
        <f t="shared" si="53"/>
        <v>230507.61</v>
      </c>
      <c r="F115" s="43">
        <f t="shared" si="53"/>
        <v>1964256.7599999998</v>
      </c>
      <c r="G115" s="43">
        <f t="shared" si="53"/>
        <v>0</v>
      </c>
      <c r="H115" s="43">
        <f t="shared" si="53"/>
        <v>1964256.7599999998</v>
      </c>
      <c r="I115" s="43">
        <f t="shared" si="53"/>
        <v>1500000</v>
      </c>
      <c r="J115" s="43">
        <f t="shared" si="53"/>
        <v>0</v>
      </c>
      <c r="K115" s="43">
        <f t="shared" si="53"/>
        <v>1500000</v>
      </c>
      <c r="L115" s="43">
        <f t="shared" si="53"/>
        <v>1500000</v>
      </c>
      <c r="M115" s="43">
        <f t="shared" si="53"/>
        <v>0</v>
      </c>
      <c r="N115" s="43">
        <f t="shared" si="53"/>
        <v>1500000</v>
      </c>
    </row>
    <row r="116" spans="1:14" x14ac:dyDescent="0.25">
      <c r="A116" s="96" t="s">
        <v>153</v>
      </c>
      <c r="B116" s="98" t="s">
        <v>311</v>
      </c>
      <c r="C116" s="97">
        <v>200</v>
      </c>
      <c r="D116" s="103">
        <v>1733749.15</v>
      </c>
      <c r="E116" s="103">
        <f>30997.61+199510</f>
        <v>230507.61</v>
      </c>
      <c r="F116" s="103">
        <f>D116+E116</f>
        <v>1964256.7599999998</v>
      </c>
      <c r="G116" s="103">
        <v>0</v>
      </c>
      <c r="H116" s="103">
        <f>F116+G116</f>
        <v>1964256.7599999998</v>
      </c>
      <c r="I116" s="103">
        <v>1500000</v>
      </c>
      <c r="J116" s="103">
        <v>0</v>
      </c>
      <c r="K116" s="103">
        <f>I116+J116</f>
        <v>1500000</v>
      </c>
      <c r="L116" s="103">
        <v>1500000</v>
      </c>
      <c r="M116" s="103">
        <v>0</v>
      </c>
      <c r="N116" s="103">
        <f>L116+M116</f>
        <v>1500000</v>
      </c>
    </row>
    <row r="117" spans="1:14" x14ac:dyDescent="0.25">
      <c r="A117" s="87" t="s">
        <v>215</v>
      </c>
      <c r="B117" s="32" t="s">
        <v>216</v>
      </c>
      <c r="C117" s="31"/>
      <c r="D117" s="42">
        <f t="shared" ref="D117:N119" si="54">D118</f>
        <v>2727203.95</v>
      </c>
      <c r="E117" s="42">
        <f t="shared" si="54"/>
        <v>0</v>
      </c>
      <c r="F117" s="42">
        <f t="shared" si="54"/>
        <v>2727203.95</v>
      </c>
      <c r="G117" s="42">
        <f t="shared" si="54"/>
        <v>510518.9</v>
      </c>
      <c r="H117" s="42">
        <f t="shared" si="54"/>
        <v>3237722.85</v>
      </c>
      <c r="I117" s="42">
        <f t="shared" si="54"/>
        <v>2727203.95</v>
      </c>
      <c r="J117" s="42">
        <f t="shared" si="54"/>
        <v>2000000</v>
      </c>
      <c r="K117" s="42">
        <f t="shared" si="54"/>
        <v>4727203.95</v>
      </c>
      <c r="L117" s="42">
        <f t="shared" si="54"/>
        <v>2727203.95</v>
      </c>
      <c r="M117" s="42">
        <f t="shared" si="54"/>
        <v>2000000</v>
      </c>
      <c r="N117" s="42">
        <f t="shared" si="54"/>
        <v>4727203.95</v>
      </c>
    </row>
    <row r="118" spans="1:14" x14ac:dyDescent="0.25">
      <c r="A118" s="30" t="s">
        <v>165</v>
      </c>
      <c r="B118" s="32" t="s">
        <v>217</v>
      </c>
      <c r="C118" s="31"/>
      <c r="D118" s="42">
        <f t="shared" si="54"/>
        <v>2727203.95</v>
      </c>
      <c r="E118" s="42">
        <f t="shared" si="54"/>
        <v>0</v>
      </c>
      <c r="F118" s="42">
        <f t="shared" si="54"/>
        <v>2727203.95</v>
      </c>
      <c r="G118" s="42">
        <f t="shared" si="54"/>
        <v>510518.9</v>
      </c>
      <c r="H118" s="42">
        <f t="shared" si="54"/>
        <v>3237722.85</v>
      </c>
      <c r="I118" s="42">
        <f t="shared" si="54"/>
        <v>2727203.95</v>
      </c>
      <c r="J118" s="42">
        <f t="shared" si="54"/>
        <v>2000000</v>
      </c>
      <c r="K118" s="42">
        <f t="shared" si="54"/>
        <v>4727203.95</v>
      </c>
      <c r="L118" s="42">
        <f t="shared" si="54"/>
        <v>2727203.95</v>
      </c>
      <c r="M118" s="42">
        <f t="shared" si="54"/>
        <v>2000000</v>
      </c>
      <c r="N118" s="42">
        <f t="shared" si="54"/>
        <v>4727203.95</v>
      </c>
    </row>
    <row r="119" spans="1:14" ht="27" x14ac:dyDescent="0.25">
      <c r="A119" s="34" t="s">
        <v>218</v>
      </c>
      <c r="B119" s="36" t="s">
        <v>219</v>
      </c>
      <c r="C119" s="31"/>
      <c r="D119" s="43">
        <f t="shared" si="54"/>
        <v>2727203.95</v>
      </c>
      <c r="E119" s="43">
        <f t="shared" si="54"/>
        <v>0</v>
      </c>
      <c r="F119" s="43">
        <f t="shared" si="54"/>
        <v>2727203.95</v>
      </c>
      <c r="G119" s="43">
        <f t="shared" si="54"/>
        <v>510518.9</v>
      </c>
      <c r="H119" s="43">
        <f t="shared" si="54"/>
        <v>3237722.85</v>
      </c>
      <c r="I119" s="43">
        <f t="shared" si="54"/>
        <v>2727203.95</v>
      </c>
      <c r="J119" s="43">
        <f t="shared" si="54"/>
        <v>2000000</v>
      </c>
      <c r="K119" s="43">
        <f t="shared" si="54"/>
        <v>4727203.95</v>
      </c>
      <c r="L119" s="43">
        <f t="shared" si="54"/>
        <v>2727203.95</v>
      </c>
      <c r="M119" s="43">
        <f t="shared" si="54"/>
        <v>2000000</v>
      </c>
      <c r="N119" s="43">
        <f t="shared" si="54"/>
        <v>4727203.95</v>
      </c>
    </row>
    <row r="120" spans="1:14" x14ac:dyDescent="0.25">
      <c r="A120" s="96" t="s">
        <v>153</v>
      </c>
      <c r="B120" s="50" t="s">
        <v>219</v>
      </c>
      <c r="C120" s="49">
        <v>200</v>
      </c>
      <c r="D120" s="51">
        <v>2727203.95</v>
      </c>
      <c r="E120" s="51">
        <v>0</v>
      </c>
      <c r="F120" s="103">
        <f>D120+E120</f>
        <v>2727203.95</v>
      </c>
      <c r="G120" s="51">
        <f>'По разделам 4'!I84</f>
        <v>510518.9</v>
      </c>
      <c r="H120" s="103">
        <f>F120+G120</f>
        <v>3237722.85</v>
      </c>
      <c r="I120" s="51">
        <v>2727203.95</v>
      </c>
      <c r="J120" s="51">
        <f>'По разделам 4'!L84</f>
        <v>2000000</v>
      </c>
      <c r="K120" s="103">
        <f>I120+J120</f>
        <v>4727203.95</v>
      </c>
      <c r="L120" s="51">
        <v>2727203.95</v>
      </c>
      <c r="M120" s="51">
        <f>'По разделам 4'!O84</f>
        <v>2000000</v>
      </c>
      <c r="N120" s="103">
        <f>L120+M120</f>
        <v>4727203.95</v>
      </c>
    </row>
    <row r="121" spans="1:14" ht="25.5" x14ac:dyDescent="0.25">
      <c r="A121" s="87" t="s">
        <v>389</v>
      </c>
      <c r="B121" s="32" t="s">
        <v>236</v>
      </c>
      <c r="C121" s="31" t="s">
        <v>0</v>
      </c>
      <c r="D121" s="42">
        <f t="shared" ref="D121:N123" si="55">D122</f>
        <v>1174817.73</v>
      </c>
      <c r="E121" s="42">
        <f t="shared" si="55"/>
        <v>0</v>
      </c>
      <c r="F121" s="42">
        <f t="shared" si="55"/>
        <v>1174817.73</v>
      </c>
      <c r="G121" s="42">
        <f t="shared" si="55"/>
        <v>2078625.74</v>
      </c>
      <c r="H121" s="42">
        <f t="shared" si="55"/>
        <v>3253443.4699999997</v>
      </c>
      <c r="I121" s="42">
        <f t="shared" si="55"/>
        <v>0</v>
      </c>
      <c r="J121" s="42">
        <f t="shared" si="55"/>
        <v>0</v>
      </c>
      <c r="K121" s="42">
        <f t="shared" si="55"/>
        <v>0</v>
      </c>
      <c r="L121" s="42">
        <f t="shared" si="55"/>
        <v>0</v>
      </c>
      <c r="M121" s="42">
        <f t="shared" si="55"/>
        <v>0</v>
      </c>
      <c r="N121" s="42">
        <f t="shared" si="55"/>
        <v>0</v>
      </c>
    </row>
    <row r="122" spans="1:14" x14ac:dyDescent="0.25">
      <c r="A122" s="30" t="s">
        <v>165</v>
      </c>
      <c r="B122" s="32" t="s">
        <v>237</v>
      </c>
      <c r="C122" s="31" t="s">
        <v>0</v>
      </c>
      <c r="D122" s="42">
        <f t="shared" si="55"/>
        <v>1174817.73</v>
      </c>
      <c r="E122" s="42">
        <f t="shared" si="55"/>
        <v>0</v>
      </c>
      <c r="F122" s="42">
        <f t="shared" si="55"/>
        <v>1174817.73</v>
      </c>
      <c r="G122" s="42">
        <f t="shared" si="55"/>
        <v>2078625.74</v>
      </c>
      <c r="H122" s="42">
        <f t="shared" si="55"/>
        <v>3253443.4699999997</v>
      </c>
      <c r="I122" s="42">
        <f t="shared" si="55"/>
        <v>0</v>
      </c>
      <c r="J122" s="42">
        <f t="shared" si="55"/>
        <v>0</v>
      </c>
      <c r="K122" s="42">
        <f t="shared" si="55"/>
        <v>0</v>
      </c>
      <c r="L122" s="42">
        <f t="shared" si="55"/>
        <v>0</v>
      </c>
      <c r="M122" s="42">
        <f t="shared" si="55"/>
        <v>0</v>
      </c>
      <c r="N122" s="42">
        <f t="shared" si="55"/>
        <v>0</v>
      </c>
    </row>
    <row r="123" spans="1:14" ht="28.5" customHeight="1" x14ac:dyDescent="0.25">
      <c r="A123" s="34" t="s">
        <v>432</v>
      </c>
      <c r="B123" s="36" t="s">
        <v>238</v>
      </c>
      <c r="C123" s="35" t="s">
        <v>0</v>
      </c>
      <c r="D123" s="43">
        <f t="shared" si="55"/>
        <v>1174817.73</v>
      </c>
      <c r="E123" s="43">
        <f t="shared" si="55"/>
        <v>0</v>
      </c>
      <c r="F123" s="43">
        <f t="shared" si="55"/>
        <v>1174817.73</v>
      </c>
      <c r="G123" s="43">
        <f t="shared" si="55"/>
        <v>2078625.74</v>
      </c>
      <c r="H123" s="43">
        <f t="shared" si="55"/>
        <v>3253443.4699999997</v>
      </c>
      <c r="I123" s="43">
        <f t="shared" si="55"/>
        <v>0</v>
      </c>
      <c r="J123" s="43">
        <f t="shared" si="55"/>
        <v>0</v>
      </c>
      <c r="K123" s="43">
        <f t="shared" si="55"/>
        <v>0</v>
      </c>
      <c r="L123" s="43">
        <f t="shared" si="55"/>
        <v>0</v>
      </c>
      <c r="M123" s="43">
        <f t="shared" si="55"/>
        <v>0</v>
      </c>
      <c r="N123" s="43">
        <f t="shared" si="55"/>
        <v>0</v>
      </c>
    </row>
    <row r="124" spans="1:14" x14ac:dyDescent="0.25">
      <c r="A124" s="96" t="s">
        <v>153</v>
      </c>
      <c r="B124" s="98" t="s">
        <v>238</v>
      </c>
      <c r="C124" s="97" t="s">
        <v>158</v>
      </c>
      <c r="D124" s="103">
        <v>1174817.73</v>
      </c>
      <c r="E124" s="103">
        <v>0</v>
      </c>
      <c r="F124" s="103">
        <f>D124+E124</f>
        <v>1174817.73</v>
      </c>
      <c r="G124" s="103">
        <f>'По разделам 4'!I103</f>
        <v>2078625.74</v>
      </c>
      <c r="H124" s="103">
        <f>F124+G124</f>
        <v>3253443.4699999997</v>
      </c>
      <c r="I124" s="103">
        <v>0</v>
      </c>
      <c r="J124" s="103">
        <v>0</v>
      </c>
      <c r="K124" s="103">
        <f>I124+J124</f>
        <v>0</v>
      </c>
      <c r="L124" s="103">
        <v>0</v>
      </c>
      <c r="M124" s="103">
        <v>0</v>
      </c>
      <c r="N124" s="103">
        <f>L124+M124</f>
        <v>0</v>
      </c>
    </row>
    <row r="125" spans="1:14" x14ac:dyDescent="0.25">
      <c r="A125" s="87" t="s">
        <v>262</v>
      </c>
      <c r="B125" s="31" t="s">
        <v>263</v>
      </c>
      <c r="C125" s="32" t="s">
        <v>0</v>
      </c>
      <c r="D125" s="42">
        <f t="shared" ref="D125:N125" si="56">D126</f>
        <v>700000</v>
      </c>
      <c r="E125" s="42">
        <f t="shared" si="56"/>
        <v>0</v>
      </c>
      <c r="F125" s="42">
        <f t="shared" si="56"/>
        <v>700000</v>
      </c>
      <c r="G125" s="42">
        <f t="shared" si="56"/>
        <v>0</v>
      </c>
      <c r="H125" s="42">
        <f t="shared" si="56"/>
        <v>700000</v>
      </c>
      <c r="I125" s="42">
        <f t="shared" si="56"/>
        <v>700000</v>
      </c>
      <c r="J125" s="42">
        <f t="shared" si="56"/>
        <v>0</v>
      </c>
      <c r="K125" s="42">
        <f t="shared" si="56"/>
        <v>700000</v>
      </c>
      <c r="L125" s="42">
        <f t="shared" si="56"/>
        <v>700000</v>
      </c>
      <c r="M125" s="42">
        <f t="shared" si="56"/>
        <v>0</v>
      </c>
      <c r="N125" s="42">
        <f t="shared" si="56"/>
        <v>700000</v>
      </c>
    </row>
    <row r="126" spans="1:14" x14ac:dyDescent="0.25">
      <c r="A126" s="30" t="s">
        <v>165</v>
      </c>
      <c r="B126" s="31" t="s">
        <v>264</v>
      </c>
      <c r="C126" s="32" t="s">
        <v>0</v>
      </c>
      <c r="D126" s="42">
        <f t="shared" ref="D126:N126" si="57">D127+D130</f>
        <v>700000</v>
      </c>
      <c r="E126" s="42">
        <f t="shared" si="57"/>
        <v>0</v>
      </c>
      <c r="F126" s="42">
        <f t="shared" si="57"/>
        <v>700000</v>
      </c>
      <c r="G126" s="42">
        <f t="shared" si="57"/>
        <v>0</v>
      </c>
      <c r="H126" s="42">
        <f t="shared" si="57"/>
        <v>700000</v>
      </c>
      <c r="I126" s="42">
        <f t="shared" si="57"/>
        <v>700000</v>
      </c>
      <c r="J126" s="42">
        <f t="shared" si="57"/>
        <v>0</v>
      </c>
      <c r="K126" s="42">
        <f t="shared" si="57"/>
        <v>700000</v>
      </c>
      <c r="L126" s="42">
        <f t="shared" si="57"/>
        <v>700000</v>
      </c>
      <c r="M126" s="42">
        <f t="shared" si="57"/>
        <v>0</v>
      </c>
      <c r="N126" s="42">
        <f t="shared" si="57"/>
        <v>700000</v>
      </c>
    </row>
    <row r="127" spans="1:14" x14ac:dyDescent="0.25">
      <c r="A127" s="34" t="s">
        <v>265</v>
      </c>
      <c r="B127" s="35" t="s">
        <v>266</v>
      </c>
      <c r="C127" s="36" t="s">
        <v>0</v>
      </c>
      <c r="D127" s="43">
        <f t="shared" ref="D127:N127" si="58">D128+D129</f>
        <v>500000</v>
      </c>
      <c r="E127" s="43">
        <f t="shared" si="58"/>
        <v>0</v>
      </c>
      <c r="F127" s="43">
        <f t="shared" si="58"/>
        <v>500000</v>
      </c>
      <c r="G127" s="43">
        <f t="shared" si="58"/>
        <v>0</v>
      </c>
      <c r="H127" s="43">
        <f t="shared" si="58"/>
        <v>500000</v>
      </c>
      <c r="I127" s="43">
        <f t="shared" si="58"/>
        <v>500000</v>
      </c>
      <c r="J127" s="43">
        <f t="shared" si="58"/>
        <v>0</v>
      </c>
      <c r="K127" s="43">
        <f t="shared" si="58"/>
        <v>500000</v>
      </c>
      <c r="L127" s="43">
        <f t="shared" si="58"/>
        <v>500000</v>
      </c>
      <c r="M127" s="43">
        <f t="shared" si="58"/>
        <v>0</v>
      </c>
      <c r="N127" s="43">
        <f t="shared" si="58"/>
        <v>500000</v>
      </c>
    </row>
    <row r="128" spans="1:14" x14ac:dyDescent="0.25">
      <c r="A128" s="96" t="s">
        <v>153</v>
      </c>
      <c r="B128" s="49" t="s">
        <v>266</v>
      </c>
      <c r="C128" s="98" t="s">
        <v>158</v>
      </c>
      <c r="D128" s="103">
        <v>18000</v>
      </c>
      <c r="E128" s="103">
        <v>0</v>
      </c>
      <c r="F128" s="103">
        <f>D128+E128</f>
        <v>18000</v>
      </c>
      <c r="G128" s="103">
        <v>0</v>
      </c>
      <c r="H128" s="103">
        <f>F128+G128</f>
        <v>18000</v>
      </c>
      <c r="I128" s="103">
        <v>18000</v>
      </c>
      <c r="J128" s="103">
        <v>0</v>
      </c>
      <c r="K128" s="103">
        <f>I128+J128</f>
        <v>18000</v>
      </c>
      <c r="L128" s="103">
        <v>18000</v>
      </c>
      <c r="M128" s="103">
        <v>0</v>
      </c>
      <c r="N128" s="103">
        <f>L128+M128</f>
        <v>18000</v>
      </c>
    </row>
    <row r="129" spans="1:14" x14ac:dyDescent="0.25">
      <c r="A129" s="96" t="s">
        <v>172</v>
      </c>
      <c r="B129" s="49" t="s">
        <v>266</v>
      </c>
      <c r="C129" s="98" t="s">
        <v>173</v>
      </c>
      <c r="D129" s="103">
        <v>482000</v>
      </c>
      <c r="E129" s="103">
        <v>0</v>
      </c>
      <c r="F129" s="103">
        <f>D129+E129</f>
        <v>482000</v>
      </c>
      <c r="G129" s="103">
        <v>0</v>
      </c>
      <c r="H129" s="103">
        <f>F129+G129</f>
        <v>482000</v>
      </c>
      <c r="I129" s="103">
        <v>482000</v>
      </c>
      <c r="J129" s="103">
        <v>0</v>
      </c>
      <c r="K129" s="103">
        <f>I129+J129</f>
        <v>482000</v>
      </c>
      <c r="L129" s="103">
        <v>482000</v>
      </c>
      <c r="M129" s="103">
        <v>0</v>
      </c>
      <c r="N129" s="103">
        <f>L129+M129</f>
        <v>482000</v>
      </c>
    </row>
    <row r="130" spans="1:14" x14ac:dyDescent="0.25">
      <c r="A130" s="34" t="s">
        <v>267</v>
      </c>
      <c r="B130" s="35" t="s">
        <v>268</v>
      </c>
      <c r="C130" s="36" t="s">
        <v>0</v>
      </c>
      <c r="D130" s="43">
        <f t="shared" ref="D130:N130" si="59">D131</f>
        <v>200000</v>
      </c>
      <c r="E130" s="43">
        <f t="shared" si="59"/>
        <v>0</v>
      </c>
      <c r="F130" s="43">
        <f t="shared" si="59"/>
        <v>200000</v>
      </c>
      <c r="G130" s="43">
        <f t="shared" si="59"/>
        <v>0</v>
      </c>
      <c r="H130" s="43">
        <f t="shared" si="59"/>
        <v>200000</v>
      </c>
      <c r="I130" s="43">
        <f t="shared" si="59"/>
        <v>200000</v>
      </c>
      <c r="J130" s="43">
        <f t="shared" si="59"/>
        <v>0</v>
      </c>
      <c r="K130" s="43">
        <f t="shared" si="59"/>
        <v>200000</v>
      </c>
      <c r="L130" s="43">
        <f t="shared" si="59"/>
        <v>200000</v>
      </c>
      <c r="M130" s="43">
        <f t="shared" si="59"/>
        <v>0</v>
      </c>
      <c r="N130" s="43">
        <f t="shared" si="59"/>
        <v>200000</v>
      </c>
    </row>
    <row r="131" spans="1:14" x14ac:dyDescent="0.25">
      <c r="A131" s="96" t="s">
        <v>172</v>
      </c>
      <c r="B131" s="49" t="s">
        <v>268</v>
      </c>
      <c r="C131" s="98" t="s">
        <v>173</v>
      </c>
      <c r="D131" s="103">
        <v>200000</v>
      </c>
      <c r="E131" s="103">
        <v>0</v>
      </c>
      <c r="F131" s="103">
        <f>D131+E131</f>
        <v>200000</v>
      </c>
      <c r="G131" s="103">
        <v>0</v>
      </c>
      <c r="H131" s="103">
        <f>F131+G131</f>
        <v>200000</v>
      </c>
      <c r="I131" s="103">
        <v>200000</v>
      </c>
      <c r="J131" s="103">
        <v>0</v>
      </c>
      <c r="K131" s="103">
        <f>I131+J131</f>
        <v>200000</v>
      </c>
      <c r="L131" s="103">
        <v>200000</v>
      </c>
      <c r="M131" s="103">
        <v>0</v>
      </c>
      <c r="N131" s="103">
        <f>L131+M131</f>
        <v>200000</v>
      </c>
    </row>
    <row r="132" spans="1:14" x14ac:dyDescent="0.25">
      <c r="A132" s="87" t="s">
        <v>188</v>
      </c>
      <c r="B132" s="32" t="s">
        <v>189</v>
      </c>
      <c r="C132" s="31" t="s">
        <v>0</v>
      </c>
      <c r="D132" s="42">
        <f>D133</f>
        <v>8162499.2200000007</v>
      </c>
      <c r="E132" s="42">
        <f>E133</f>
        <v>2018629.31</v>
      </c>
      <c r="F132" s="42">
        <f>F133</f>
        <v>10181128.530000001</v>
      </c>
      <c r="G132" s="42">
        <f>G133</f>
        <v>50600000</v>
      </c>
      <c r="H132" s="42">
        <f>H133</f>
        <v>60781128.530000001</v>
      </c>
      <c r="I132" s="42">
        <f t="shared" ref="I132:L132" si="60">I133</f>
        <v>7391767.8899999997</v>
      </c>
      <c r="J132" s="42">
        <f>J133</f>
        <v>0</v>
      </c>
      <c r="K132" s="42">
        <f>K133</f>
        <v>7391767.8899999997</v>
      </c>
      <c r="L132" s="42">
        <f t="shared" si="60"/>
        <v>7687438.5999999996</v>
      </c>
      <c r="M132" s="42">
        <f>M133</f>
        <v>0</v>
      </c>
      <c r="N132" s="42">
        <f>N133</f>
        <v>7687438.5999999996</v>
      </c>
    </row>
    <row r="133" spans="1:14" x14ac:dyDescent="0.25">
      <c r="A133" s="30" t="s">
        <v>165</v>
      </c>
      <c r="B133" s="32" t="s">
        <v>190</v>
      </c>
      <c r="C133" s="31" t="s">
        <v>0</v>
      </c>
      <c r="D133" s="42">
        <f>D134+D136+D138+D140+D147+D145+D142</f>
        <v>8162499.2200000007</v>
      </c>
      <c r="E133" s="42">
        <f t="shared" ref="E133:N133" si="61">E134+E136+E138+E140+E147+E145+E142</f>
        <v>2018629.31</v>
      </c>
      <c r="F133" s="42">
        <f t="shared" si="61"/>
        <v>10181128.530000001</v>
      </c>
      <c r="G133" s="42">
        <f t="shared" si="61"/>
        <v>50600000</v>
      </c>
      <c r="H133" s="42">
        <f t="shared" si="61"/>
        <v>60781128.530000001</v>
      </c>
      <c r="I133" s="42">
        <f t="shared" si="61"/>
        <v>7391767.8899999997</v>
      </c>
      <c r="J133" s="42">
        <f t="shared" si="61"/>
        <v>0</v>
      </c>
      <c r="K133" s="42">
        <f t="shared" si="61"/>
        <v>7391767.8899999997</v>
      </c>
      <c r="L133" s="42">
        <f t="shared" si="61"/>
        <v>7687438.5999999996</v>
      </c>
      <c r="M133" s="42">
        <f t="shared" si="61"/>
        <v>0</v>
      </c>
      <c r="N133" s="42">
        <f t="shared" si="61"/>
        <v>7687438.5999999996</v>
      </c>
    </row>
    <row r="134" spans="1:14" x14ac:dyDescent="0.25">
      <c r="A134" s="34" t="s">
        <v>191</v>
      </c>
      <c r="B134" s="36" t="s">
        <v>192</v>
      </c>
      <c r="C134" s="35" t="s">
        <v>0</v>
      </c>
      <c r="D134" s="43">
        <f t="shared" ref="D134:N134" si="62">D135</f>
        <v>0</v>
      </c>
      <c r="E134" s="43">
        <f t="shared" si="62"/>
        <v>0</v>
      </c>
      <c r="F134" s="43">
        <f t="shared" si="62"/>
        <v>0</v>
      </c>
      <c r="G134" s="43">
        <f t="shared" si="62"/>
        <v>50000000</v>
      </c>
      <c r="H134" s="43">
        <f t="shared" si="62"/>
        <v>50000000</v>
      </c>
      <c r="I134" s="43">
        <f t="shared" si="62"/>
        <v>0</v>
      </c>
      <c r="J134" s="43">
        <f t="shared" si="62"/>
        <v>0</v>
      </c>
      <c r="K134" s="43">
        <f t="shared" si="62"/>
        <v>0</v>
      </c>
      <c r="L134" s="43">
        <f t="shared" si="62"/>
        <v>0</v>
      </c>
      <c r="M134" s="43">
        <f t="shared" si="62"/>
        <v>0</v>
      </c>
      <c r="N134" s="43">
        <f t="shared" si="62"/>
        <v>0</v>
      </c>
    </row>
    <row r="135" spans="1:14" x14ac:dyDescent="0.25">
      <c r="A135" s="96" t="s">
        <v>169</v>
      </c>
      <c r="B135" s="98" t="s">
        <v>192</v>
      </c>
      <c r="C135" s="97" t="s">
        <v>171</v>
      </c>
      <c r="D135" s="103">
        <v>0</v>
      </c>
      <c r="E135" s="44">
        <v>0</v>
      </c>
      <c r="F135" s="38">
        <f>D135+E135</f>
        <v>0</v>
      </c>
      <c r="G135" s="44">
        <f>'По разделам 4'!I54</f>
        <v>50000000</v>
      </c>
      <c r="H135" s="38">
        <f>F135+G135</f>
        <v>50000000</v>
      </c>
      <c r="I135" s="103">
        <v>0</v>
      </c>
      <c r="J135" s="44">
        <v>0</v>
      </c>
      <c r="K135" s="38">
        <f>I135+J135</f>
        <v>0</v>
      </c>
      <c r="L135" s="103">
        <v>0</v>
      </c>
      <c r="M135" s="44">
        <v>0</v>
      </c>
      <c r="N135" s="38">
        <f>L135+M135</f>
        <v>0</v>
      </c>
    </row>
    <row r="136" spans="1:14" x14ac:dyDescent="0.25">
      <c r="A136" s="34" t="s">
        <v>193</v>
      </c>
      <c r="B136" s="36" t="s">
        <v>194</v>
      </c>
      <c r="C136" s="35" t="s">
        <v>0</v>
      </c>
      <c r="D136" s="43">
        <f t="shared" ref="D136:N136" si="63">D137</f>
        <v>274801</v>
      </c>
      <c r="E136" s="43">
        <f t="shared" si="63"/>
        <v>1640259.96</v>
      </c>
      <c r="F136" s="43">
        <f t="shared" si="63"/>
        <v>1915060.96</v>
      </c>
      <c r="G136" s="43">
        <f t="shared" si="63"/>
        <v>0</v>
      </c>
      <c r="H136" s="43">
        <f t="shared" si="63"/>
        <v>1915060.96</v>
      </c>
      <c r="I136" s="43">
        <f t="shared" si="63"/>
        <v>283045.03000000003</v>
      </c>
      <c r="J136" s="43">
        <f t="shared" si="63"/>
        <v>0</v>
      </c>
      <c r="K136" s="43">
        <f t="shared" si="63"/>
        <v>283045.03000000003</v>
      </c>
      <c r="L136" s="43">
        <f t="shared" si="63"/>
        <v>294366.83</v>
      </c>
      <c r="M136" s="43">
        <f t="shared" si="63"/>
        <v>0</v>
      </c>
      <c r="N136" s="43">
        <f t="shared" si="63"/>
        <v>294366.83</v>
      </c>
    </row>
    <row r="137" spans="1:14" x14ac:dyDescent="0.25">
      <c r="A137" s="96" t="s">
        <v>153</v>
      </c>
      <c r="B137" s="98" t="s">
        <v>194</v>
      </c>
      <c r="C137" s="97" t="s">
        <v>158</v>
      </c>
      <c r="D137" s="103">
        <v>274801</v>
      </c>
      <c r="E137" s="44">
        <v>1640259.96</v>
      </c>
      <c r="F137" s="103">
        <f>D137+E137</f>
        <v>1915060.96</v>
      </c>
      <c r="G137" s="44">
        <v>0</v>
      </c>
      <c r="H137" s="103">
        <f>F137+G137</f>
        <v>1915060.96</v>
      </c>
      <c r="I137" s="103">
        <v>283045.03000000003</v>
      </c>
      <c r="J137" s="44">
        <v>0</v>
      </c>
      <c r="K137" s="103">
        <f>I137+J137</f>
        <v>283045.03000000003</v>
      </c>
      <c r="L137" s="103">
        <v>294366.83</v>
      </c>
      <c r="M137" s="44">
        <v>0</v>
      </c>
      <c r="N137" s="103">
        <f>L137+M137</f>
        <v>294366.83</v>
      </c>
    </row>
    <row r="138" spans="1:14" x14ac:dyDescent="0.25">
      <c r="A138" s="34" t="s">
        <v>195</v>
      </c>
      <c r="B138" s="36" t="s">
        <v>196</v>
      </c>
      <c r="C138" s="35" t="s">
        <v>0</v>
      </c>
      <c r="D138" s="43">
        <f t="shared" ref="D138:N138" si="64">D139</f>
        <v>267185</v>
      </c>
      <c r="E138" s="43">
        <f t="shared" si="64"/>
        <v>0</v>
      </c>
      <c r="F138" s="43">
        <f t="shared" si="64"/>
        <v>267185</v>
      </c>
      <c r="G138" s="43">
        <f t="shared" si="64"/>
        <v>0</v>
      </c>
      <c r="H138" s="43">
        <f t="shared" si="64"/>
        <v>267185</v>
      </c>
      <c r="I138" s="43">
        <f t="shared" si="64"/>
        <v>275200.55</v>
      </c>
      <c r="J138" s="43">
        <f t="shared" si="64"/>
        <v>0</v>
      </c>
      <c r="K138" s="43">
        <f t="shared" si="64"/>
        <v>275200.55</v>
      </c>
      <c r="L138" s="43">
        <f t="shared" si="64"/>
        <v>286208.57</v>
      </c>
      <c r="M138" s="43">
        <f t="shared" si="64"/>
        <v>0</v>
      </c>
      <c r="N138" s="43">
        <f t="shared" si="64"/>
        <v>286208.57</v>
      </c>
    </row>
    <row r="139" spans="1:14" x14ac:dyDescent="0.25">
      <c r="A139" s="96" t="s">
        <v>153</v>
      </c>
      <c r="B139" s="98" t="s">
        <v>196</v>
      </c>
      <c r="C139" s="97" t="s">
        <v>158</v>
      </c>
      <c r="D139" s="40">
        <v>267185</v>
      </c>
      <c r="E139" s="40">
        <v>0</v>
      </c>
      <c r="F139" s="103">
        <f>D139+E139</f>
        <v>267185</v>
      </c>
      <c r="G139" s="40">
        <v>0</v>
      </c>
      <c r="H139" s="103">
        <f>F139+G139</f>
        <v>267185</v>
      </c>
      <c r="I139" s="40">
        <v>275200.55</v>
      </c>
      <c r="J139" s="40">
        <v>0</v>
      </c>
      <c r="K139" s="103">
        <f>I139+J139</f>
        <v>275200.55</v>
      </c>
      <c r="L139" s="45">
        <v>286208.57</v>
      </c>
      <c r="M139" s="40">
        <v>0</v>
      </c>
      <c r="N139" s="103">
        <f>L139+M139</f>
        <v>286208.57</v>
      </c>
    </row>
    <row r="140" spans="1:14" x14ac:dyDescent="0.25">
      <c r="A140" s="34" t="s">
        <v>197</v>
      </c>
      <c r="B140" s="36" t="s">
        <v>198</v>
      </c>
      <c r="C140" s="35" t="s">
        <v>0</v>
      </c>
      <c r="D140" s="43">
        <f t="shared" ref="D140:N140" si="65">D141</f>
        <v>2388848</v>
      </c>
      <c r="E140" s="43">
        <f t="shared" si="65"/>
        <v>0</v>
      </c>
      <c r="F140" s="43">
        <f t="shared" si="65"/>
        <v>2388848</v>
      </c>
      <c r="G140" s="43">
        <f t="shared" si="65"/>
        <v>0</v>
      </c>
      <c r="H140" s="43">
        <f t="shared" si="65"/>
        <v>2388848</v>
      </c>
      <c r="I140" s="43">
        <f t="shared" si="65"/>
        <v>2460513.44</v>
      </c>
      <c r="J140" s="43">
        <f t="shared" si="65"/>
        <v>0</v>
      </c>
      <c r="K140" s="43">
        <f t="shared" si="65"/>
        <v>2460513.44</v>
      </c>
      <c r="L140" s="43">
        <f t="shared" si="65"/>
        <v>2558933.98</v>
      </c>
      <c r="M140" s="43">
        <f t="shared" si="65"/>
        <v>0</v>
      </c>
      <c r="N140" s="43">
        <f t="shared" si="65"/>
        <v>2558933.98</v>
      </c>
    </row>
    <row r="141" spans="1:14" x14ac:dyDescent="0.25">
      <c r="A141" s="96" t="s">
        <v>153</v>
      </c>
      <c r="B141" s="98" t="s">
        <v>198</v>
      </c>
      <c r="C141" s="97" t="s">
        <v>158</v>
      </c>
      <c r="D141" s="103">
        <v>2388848</v>
      </c>
      <c r="E141" s="103">
        <v>0</v>
      </c>
      <c r="F141" s="103">
        <f>D141+E141</f>
        <v>2388848</v>
      </c>
      <c r="G141" s="103">
        <v>0</v>
      </c>
      <c r="H141" s="103">
        <f>F141+G141</f>
        <v>2388848</v>
      </c>
      <c r="I141" s="103">
        <v>2460513.44</v>
      </c>
      <c r="J141" s="103">
        <v>0</v>
      </c>
      <c r="K141" s="103">
        <f>I141+J141</f>
        <v>2460513.44</v>
      </c>
      <c r="L141" s="103">
        <v>2558933.98</v>
      </c>
      <c r="M141" s="103">
        <v>0</v>
      </c>
      <c r="N141" s="103">
        <f>L141+M141</f>
        <v>2558933.98</v>
      </c>
    </row>
    <row r="142" spans="1:14" x14ac:dyDescent="0.25">
      <c r="A142" s="34" t="s">
        <v>199</v>
      </c>
      <c r="B142" s="36" t="s">
        <v>200</v>
      </c>
      <c r="C142" s="35" t="s">
        <v>0</v>
      </c>
      <c r="D142" s="43">
        <f t="shared" ref="D142:N142" si="66">D143+D144</f>
        <v>2355729</v>
      </c>
      <c r="E142" s="43">
        <f t="shared" si="66"/>
        <v>0</v>
      </c>
      <c r="F142" s="43">
        <f t="shared" si="66"/>
        <v>2355729</v>
      </c>
      <c r="G142" s="43">
        <f t="shared" si="66"/>
        <v>0</v>
      </c>
      <c r="H142" s="43">
        <f t="shared" si="66"/>
        <v>2355729</v>
      </c>
      <c r="I142" s="43">
        <f t="shared" si="66"/>
        <v>2426400.87</v>
      </c>
      <c r="J142" s="43">
        <f t="shared" si="66"/>
        <v>0</v>
      </c>
      <c r="K142" s="43">
        <f t="shared" si="66"/>
        <v>2426400.87</v>
      </c>
      <c r="L142" s="43">
        <f t="shared" si="66"/>
        <v>2523456.9</v>
      </c>
      <c r="M142" s="43">
        <f t="shared" si="66"/>
        <v>0</v>
      </c>
      <c r="N142" s="43">
        <f t="shared" si="66"/>
        <v>2523456.9</v>
      </c>
    </row>
    <row r="143" spans="1:14" x14ac:dyDescent="0.25">
      <c r="A143" s="96" t="s">
        <v>153</v>
      </c>
      <c r="B143" s="98" t="s">
        <v>200</v>
      </c>
      <c r="C143" s="97" t="s">
        <v>158</v>
      </c>
      <c r="D143" s="103">
        <v>2355729</v>
      </c>
      <c r="E143" s="103">
        <v>0</v>
      </c>
      <c r="F143" s="103">
        <f>D143+E143</f>
        <v>2355729</v>
      </c>
      <c r="G143" s="103">
        <v>0</v>
      </c>
      <c r="H143" s="103">
        <f>F143+G143</f>
        <v>2355729</v>
      </c>
      <c r="I143" s="103">
        <v>2426400.87</v>
      </c>
      <c r="J143" s="103">
        <v>0</v>
      </c>
      <c r="K143" s="103">
        <f>I143+J143</f>
        <v>2426400.87</v>
      </c>
      <c r="L143" s="103">
        <v>2523456.9</v>
      </c>
      <c r="M143" s="103">
        <v>0</v>
      </c>
      <c r="N143" s="103">
        <f>L143+M143</f>
        <v>2523456.9</v>
      </c>
    </row>
    <row r="144" spans="1:14" x14ac:dyDescent="0.25">
      <c r="A144" s="30" t="s">
        <v>172</v>
      </c>
      <c r="B144" s="98" t="s">
        <v>200</v>
      </c>
      <c r="C144" s="97" t="s">
        <v>173</v>
      </c>
      <c r="D144" s="103">
        <v>0</v>
      </c>
      <c r="E144" s="103">
        <v>0</v>
      </c>
      <c r="F144" s="103">
        <f>D144+E144</f>
        <v>0</v>
      </c>
      <c r="G144" s="103">
        <v>0</v>
      </c>
      <c r="H144" s="103">
        <f>F144+G144</f>
        <v>0</v>
      </c>
      <c r="I144" s="103">
        <v>0</v>
      </c>
      <c r="J144" s="103">
        <v>0</v>
      </c>
      <c r="K144" s="103">
        <f>I144+J144</f>
        <v>0</v>
      </c>
      <c r="L144" s="103">
        <v>0</v>
      </c>
      <c r="M144" s="103">
        <v>0</v>
      </c>
      <c r="N144" s="103">
        <f>L144+M144</f>
        <v>0</v>
      </c>
    </row>
    <row r="145" spans="1:14" x14ac:dyDescent="0.25">
      <c r="A145" s="34" t="s">
        <v>201</v>
      </c>
      <c r="B145" s="46" t="s">
        <v>202</v>
      </c>
      <c r="C145" s="97" t="s">
        <v>0</v>
      </c>
      <c r="D145" s="43">
        <f t="shared" ref="D145:N145" si="67">D146</f>
        <v>0</v>
      </c>
      <c r="E145" s="43">
        <f t="shared" si="67"/>
        <v>0</v>
      </c>
      <c r="F145" s="43">
        <f t="shared" si="67"/>
        <v>0</v>
      </c>
      <c r="G145" s="43">
        <f t="shared" si="67"/>
        <v>600000</v>
      </c>
      <c r="H145" s="43">
        <f t="shared" si="67"/>
        <v>600000</v>
      </c>
      <c r="I145" s="43">
        <f t="shared" si="67"/>
        <v>0</v>
      </c>
      <c r="J145" s="43">
        <f t="shared" si="67"/>
        <v>0</v>
      </c>
      <c r="K145" s="43">
        <f t="shared" si="67"/>
        <v>0</v>
      </c>
      <c r="L145" s="43">
        <f t="shared" si="67"/>
        <v>0</v>
      </c>
      <c r="M145" s="43">
        <f t="shared" si="67"/>
        <v>0</v>
      </c>
      <c r="N145" s="43">
        <f t="shared" si="67"/>
        <v>0</v>
      </c>
    </row>
    <row r="146" spans="1:14" x14ac:dyDescent="0.25">
      <c r="A146" s="96" t="s">
        <v>153</v>
      </c>
      <c r="B146" s="47" t="s">
        <v>202</v>
      </c>
      <c r="C146" s="97" t="s">
        <v>158</v>
      </c>
      <c r="D146" s="103">
        <v>0</v>
      </c>
      <c r="E146" s="103">
        <v>0</v>
      </c>
      <c r="F146" s="38">
        <f>D146+E146</f>
        <v>0</v>
      </c>
      <c r="G146" s="103">
        <f>'По разделам 4'!I65</f>
        <v>600000</v>
      </c>
      <c r="H146" s="38">
        <f>'По разделам 4'!I65</f>
        <v>600000</v>
      </c>
      <c r="I146" s="103">
        <v>0</v>
      </c>
      <c r="J146" s="103">
        <v>0</v>
      </c>
      <c r="K146" s="38">
        <f>I146+J146</f>
        <v>0</v>
      </c>
      <c r="L146" s="103">
        <v>0</v>
      </c>
      <c r="M146" s="103">
        <v>0</v>
      </c>
      <c r="N146" s="38">
        <f>L146+M146</f>
        <v>0</v>
      </c>
    </row>
    <row r="147" spans="1:14" x14ac:dyDescent="0.25">
      <c r="A147" s="34" t="s">
        <v>203</v>
      </c>
      <c r="B147" s="55" t="s">
        <v>204</v>
      </c>
      <c r="C147" s="97" t="s">
        <v>0</v>
      </c>
      <c r="D147" s="43">
        <f t="shared" ref="D147:N147" si="68">D148</f>
        <v>2875936.22</v>
      </c>
      <c r="E147" s="43">
        <f t="shared" si="68"/>
        <v>378369.35</v>
      </c>
      <c r="F147" s="43">
        <f t="shared" si="68"/>
        <v>3254305.5700000003</v>
      </c>
      <c r="G147" s="43">
        <f t="shared" si="68"/>
        <v>0</v>
      </c>
      <c r="H147" s="43">
        <f t="shared" si="68"/>
        <v>3254305.5700000003</v>
      </c>
      <c r="I147" s="43">
        <f t="shared" si="68"/>
        <v>1946608</v>
      </c>
      <c r="J147" s="43">
        <f t="shared" si="68"/>
        <v>0</v>
      </c>
      <c r="K147" s="43">
        <f t="shared" si="68"/>
        <v>1946608</v>
      </c>
      <c r="L147" s="43">
        <f t="shared" si="68"/>
        <v>2024472.32</v>
      </c>
      <c r="M147" s="43">
        <f t="shared" si="68"/>
        <v>0</v>
      </c>
      <c r="N147" s="43">
        <f t="shared" si="68"/>
        <v>2024472.32</v>
      </c>
    </row>
    <row r="148" spans="1:14" x14ac:dyDescent="0.25">
      <c r="A148" s="96" t="s">
        <v>153</v>
      </c>
      <c r="B148" s="47" t="s">
        <v>204</v>
      </c>
      <c r="C148" s="97" t="s">
        <v>158</v>
      </c>
      <c r="D148" s="103">
        <v>2875936.22</v>
      </c>
      <c r="E148" s="103">
        <v>378369.35</v>
      </c>
      <c r="F148" s="103">
        <f>D148+E148</f>
        <v>3254305.5700000003</v>
      </c>
      <c r="G148" s="103">
        <v>0</v>
      </c>
      <c r="H148" s="103">
        <f>F148+G148</f>
        <v>3254305.5700000003</v>
      </c>
      <c r="I148" s="103">
        <v>1946608</v>
      </c>
      <c r="J148" s="103">
        <v>0</v>
      </c>
      <c r="K148" s="103">
        <f>I148+J148</f>
        <v>1946608</v>
      </c>
      <c r="L148" s="103">
        <v>2024472.32</v>
      </c>
      <c r="M148" s="103">
        <v>0</v>
      </c>
      <c r="N148" s="103">
        <f>L148+M148</f>
        <v>2024472.32</v>
      </c>
    </row>
    <row r="149" spans="1:14" ht="14.45" customHeight="1" x14ac:dyDescent="0.25">
      <c r="A149" s="87" t="s">
        <v>163</v>
      </c>
      <c r="B149" s="31" t="s">
        <v>164</v>
      </c>
      <c r="C149" s="32" t="s">
        <v>0</v>
      </c>
      <c r="D149" s="42">
        <f t="shared" ref="D149:N150" si="69">D150</f>
        <v>925373</v>
      </c>
      <c r="E149" s="42">
        <f t="shared" si="69"/>
        <v>0</v>
      </c>
      <c r="F149" s="42">
        <f t="shared" si="69"/>
        <v>925373</v>
      </c>
      <c r="G149" s="42">
        <f t="shared" si="69"/>
        <v>0</v>
      </c>
      <c r="H149" s="42">
        <f t="shared" si="69"/>
        <v>925373</v>
      </c>
      <c r="I149" s="33">
        <f t="shared" si="69"/>
        <v>925373</v>
      </c>
      <c r="J149" s="42">
        <f t="shared" si="69"/>
        <v>0</v>
      </c>
      <c r="K149" s="42">
        <f t="shared" si="69"/>
        <v>925373</v>
      </c>
      <c r="L149" s="33">
        <f t="shared" si="69"/>
        <v>925373</v>
      </c>
      <c r="M149" s="42">
        <f t="shared" si="69"/>
        <v>0</v>
      </c>
      <c r="N149" s="42">
        <f t="shared" si="69"/>
        <v>925373</v>
      </c>
    </row>
    <row r="150" spans="1:14" x14ac:dyDescent="0.25">
      <c r="A150" s="30" t="s">
        <v>165</v>
      </c>
      <c r="B150" s="31" t="s">
        <v>166</v>
      </c>
      <c r="C150" s="32" t="s">
        <v>0</v>
      </c>
      <c r="D150" s="42">
        <f t="shared" si="69"/>
        <v>925373</v>
      </c>
      <c r="E150" s="42">
        <f t="shared" si="69"/>
        <v>0</v>
      </c>
      <c r="F150" s="42">
        <f t="shared" si="69"/>
        <v>925373</v>
      </c>
      <c r="G150" s="42">
        <f t="shared" si="69"/>
        <v>0</v>
      </c>
      <c r="H150" s="42">
        <f t="shared" si="69"/>
        <v>925373</v>
      </c>
      <c r="I150" s="33">
        <f t="shared" si="69"/>
        <v>925373</v>
      </c>
      <c r="J150" s="42">
        <f t="shared" si="69"/>
        <v>0</v>
      </c>
      <c r="K150" s="42">
        <f t="shared" si="69"/>
        <v>925373</v>
      </c>
      <c r="L150" s="33">
        <f t="shared" si="69"/>
        <v>925373</v>
      </c>
      <c r="M150" s="42">
        <f t="shared" si="69"/>
        <v>0</v>
      </c>
      <c r="N150" s="42">
        <f t="shared" si="69"/>
        <v>925373</v>
      </c>
    </row>
    <row r="151" spans="1:14" x14ac:dyDescent="0.25">
      <c r="A151" s="34" t="s">
        <v>167</v>
      </c>
      <c r="B151" s="35" t="s">
        <v>168</v>
      </c>
      <c r="C151" s="36" t="s">
        <v>0</v>
      </c>
      <c r="D151" s="43">
        <f>D152+D153</f>
        <v>925373</v>
      </c>
      <c r="E151" s="43">
        <f>E152+E153</f>
        <v>0</v>
      </c>
      <c r="F151" s="43">
        <f>F152+F153</f>
        <v>925373</v>
      </c>
      <c r="G151" s="43">
        <f>G152+G153</f>
        <v>0</v>
      </c>
      <c r="H151" s="43">
        <f>H152+H153</f>
        <v>925373</v>
      </c>
      <c r="I151" s="37">
        <f t="shared" ref="I151:L151" si="70">I152+I153</f>
        <v>925373</v>
      </c>
      <c r="J151" s="43">
        <f>J152+J153</f>
        <v>0</v>
      </c>
      <c r="K151" s="43">
        <f>K152+K153</f>
        <v>925373</v>
      </c>
      <c r="L151" s="37">
        <f t="shared" si="70"/>
        <v>925373</v>
      </c>
      <c r="M151" s="43">
        <f>M152+M153</f>
        <v>0</v>
      </c>
      <c r="N151" s="43">
        <f>N152+N153</f>
        <v>925373</v>
      </c>
    </row>
    <row r="152" spans="1:14" x14ac:dyDescent="0.25">
      <c r="A152" s="96" t="s">
        <v>151</v>
      </c>
      <c r="B152" s="49" t="s">
        <v>168</v>
      </c>
      <c r="C152" s="98" t="s">
        <v>152</v>
      </c>
      <c r="D152" s="103">
        <v>299531</v>
      </c>
      <c r="E152" s="103">
        <v>0</v>
      </c>
      <c r="F152" s="103">
        <f>D152+E152</f>
        <v>299531</v>
      </c>
      <c r="G152" s="103">
        <v>0</v>
      </c>
      <c r="H152" s="103">
        <f>F152+G152</f>
        <v>299531</v>
      </c>
      <c r="I152" s="103">
        <v>299531</v>
      </c>
      <c r="J152" s="103">
        <v>0</v>
      </c>
      <c r="K152" s="103">
        <f>I152+J152</f>
        <v>299531</v>
      </c>
      <c r="L152" s="103">
        <v>299531</v>
      </c>
      <c r="M152" s="103">
        <v>0</v>
      </c>
      <c r="N152" s="103">
        <f>L152+M152</f>
        <v>299531</v>
      </c>
    </row>
    <row r="153" spans="1:14" x14ac:dyDescent="0.25">
      <c r="A153" s="96" t="s">
        <v>153</v>
      </c>
      <c r="B153" s="49" t="s">
        <v>168</v>
      </c>
      <c r="C153" s="98" t="s">
        <v>158</v>
      </c>
      <c r="D153" s="40">
        <v>625842</v>
      </c>
      <c r="E153" s="40">
        <v>0</v>
      </c>
      <c r="F153" s="103">
        <f>D153+E153</f>
        <v>625842</v>
      </c>
      <c r="G153" s="40">
        <v>0</v>
      </c>
      <c r="H153" s="103">
        <f>F153+G153</f>
        <v>625842</v>
      </c>
      <c r="I153" s="40">
        <v>625842</v>
      </c>
      <c r="J153" s="40">
        <v>0</v>
      </c>
      <c r="K153" s="103">
        <f>I153+J153</f>
        <v>625842</v>
      </c>
      <c r="L153" s="92">
        <v>625842</v>
      </c>
      <c r="M153" s="40">
        <v>0</v>
      </c>
      <c r="N153" s="103">
        <f>L153+M153</f>
        <v>625842</v>
      </c>
    </row>
    <row r="154" spans="1:14" x14ac:dyDescent="0.25">
      <c r="A154" s="87" t="s">
        <v>364</v>
      </c>
      <c r="B154" s="32" t="s">
        <v>365</v>
      </c>
      <c r="C154" s="32" t="s">
        <v>0</v>
      </c>
      <c r="D154" s="42">
        <f t="shared" ref="D154:N156" si="71">D155</f>
        <v>2655457.7999999998</v>
      </c>
      <c r="E154" s="42">
        <f t="shared" si="71"/>
        <v>29800</v>
      </c>
      <c r="F154" s="42">
        <f t="shared" si="71"/>
        <v>2685257.8</v>
      </c>
      <c r="G154" s="42">
        <f t="shared" si="71"/>
        <v>0</v>
      </c>
      <c r="H154" s="42">
        <f t="shared" si="71"/>
        <v>2685257.8</v>
      </c>
      <c r="I154" s="33">
        <f t="shared" si="71"/>
        <v>2655457.7999999998</v>
      </c>
      <c r="J154" s="42">
        <f t="shared" si="71"/>
        <v>0</v>
      </c>
      <c r="K154" s="42">
        <f t="shared" si="71"/>
        <v>2655457.7999999998</v>
      </c>
      <c r="L154" s="33">
        <f t="shared" si="71"/>
        <v>2655457.7999999998</v>
      </c>
      <c r="M154" s="42">
        <f t="shared" si="71"/>
        <v>0</v>
      </c>
      <c r="N154" s="42">
        <f t="shared" si="71"/>
        <v>2655457.7999999998</v>
      </c>
    </row>
    <row r="155" spans="1:14" x14ac:dyDescent="0.25">
      <c r="A155" s="30" t="s">
        <v>165</v>
      </c>
      <c r="B155" s="32" t="s">
        <v>366</v>
      </c>
      <c r="C155" s="32" t="s">
        <v>0</v>
      </c>
      <c r="D155" s="42">
        <f t="shared" si="71"/>
        <v>2655457.7999999998</v>
      </c>
      <c r="E155" s="42">
        <f t="shared" si="71"/>
        <v>29800</v>
      </c>
      <c r="F155" s="42">
        <f t="shared" si="71"/>
        <v>2685257.8</v>
      </c>
      <c r="G155" s="42">
        <f t="shared" si="71"/>
        <v>0</v>
      </c>
      <c r="H155" s="42">
        <f t="shared" si="71"/>
        <v>2685257.8</v>
      </c>
      <c r="I155" s="33">
        <f t="shared" si="71"/>
        <v>2655457.7999999998</v>
      </c>
      <c r="J155" s="42">
        <f t="shared" si="71"/>
        <v>0</v>
      </c>
      <c r="K155" s="42">
        <f t="shared" si="71"/>
        <v>2655457.7999999998</v>
      </c>
      <c r="L155" s="33">
        <f t="shared" si="71"/>
        <v>2655457.7999999998</v>
      </c>
      <c r="M155" s="42">
        <f t="shared" si="71"/>
        <v>0</v>
      </c>
      <c r="N155" s="42">
        <f t="shared" si="71"/>
        <v>2655457.7999999998</v>
      </c>
    </row>
    <row r="156" spans="1:14" x14ac:dyDescent="0.25">
      <c r="A156" s="34" t="s">
        <v>367</v>
      </c>
      <c r="B156" s="36" t="s">
        <v>368</v>
      </c>
      <c r="C156" s="36" t="s">
        <v>0</v>
      </c>
      <c r="D156" s="43">
        <f t="shared" si="71"/>
        <v>2655457.7999999998</v>
      </c>
      <c r="E156" s="43">
        <f t="shared" si="71"/>
        <v>29800</v>
      </c>
      <c r="F156" s="43">
        <f t="shared" si="71"/>
        <v>2685257.8</v>
      </c>
      <c r="G156" s="43">
        <f t="shared" si="71"/>
        <v>0</v>
      </c>
      <c r="H156" s="43">
        <f t="shared" si="71"/>
        <v>2685257.8</v>
      </c>
      <c r="I156" s="37">
        <f t="shared" si="71"/>
        <v>2655457.7999999998</v>
      </c>
      <c r="J156" s="43">
        <f t="shared" si="71"/>
        <v>0</v>
      </c>
      <c r="K156" s="43">
        <f t="shared" si="71"/>
        <v>2655457.7999999998</v>
      </c>
      <c r="L156" s="37">
        <f t="shared" si="71"/>
        <v>2655457.7999999998</v>
      </c>
      <c r="M156" s="43">
        <f t="shared" si="71"/>
        <v>0</v>
      </c>
      <c r="N156" s="43">
        <f t="shared" si="71"/>
        <v>2655457.7999999998</v>
      </c>
    </row>
    <row r="157" spans="1:14" x14ac:dyDescent="0.25">
      <c r="A157" s="96" t="s">
        <v>153</v>
      </c>
      <c r="B157" s="50" t="s">
        <v>368</v>
      </c>
      <c r="C157" s="98" t="s">
        <v>158</v>
      </c>
      <c r="D157" s="103">
        <v>2655457.7999999998</v>
      </c>
      <c r="E157" s="103">
        <v>29800</v>
      </c>
      <c r="F157" s="103">
        <f>D157+E157</f>
        <v>2685257.8</v>
      </c>
      <c r="G157" s="103">
        <v>0</v>
      </c>
      <c r="H157" s="103">
        <f>F157+G157</f>
        <v>2685257.8</v>
      </c>
      <c r="I157" s="103">
        <v>2655457.7999999998</v>
      </c>
      <c r="J157" s="103">
        <v>0</v>
      </c>
      <c r="K157" s="103">
        <f>I157+J157</f>
        <v>2655457.7999999998</v>
      </c>
      <c r="L157" s="103">
        <v>2655457.7999999998</v>
      </c>
      <c r="M157" s="103">
        <v>0</v>
      </c>
      <c r="N157" s="103">
        <f>L157+M157</f>
        <v>2655457.7999999998</v>
      </c>
    </row>
    <row r="160" spans="1:14" x14ac:dyDescent="0.25">
      <c r="A160" s="93" t="s">
        <v>390</v>
      </c>
      <c r="H160" s="73">
        <f>'Непрограм 3'!H6</f>
        <v>230075405.87000003</v>
      </c>
      <c r="I160" s="118"/>
      <c r="J160" s="118"/>
      <c r="K160" s="118">
        <f>'Непрограм 3'!I6</f>
        <v>234499833.11000001</v>
      </c>
      <c r="L160" s="118"/>
      <c r="M160" s="118"/>
      <c r="N160" s="118">
        <f>'Непрограм 3'!J6</f>
        <v>256190479.25000006</v>
      </c>
    </row>
    <row r="161" spans="1:14" ht="14.45" customHeight="1" x14ac:dyDescent="0.25">
      <c r="A161" s="93" t="s">
        <v>391</v>
      </c>
      <c r="H161" s="118">
        <f>H6+H160</f>
        <v>1216035764.8331687</v>
      </c>
      <c r="I161" s="118"/>
      <c r="J161" s="118"/>
      <c r="K161" s="118">
        <f>K6+K160</f>
        <v>522389422.42517865</v>
      </c>
      <c r="L161" s="118"/>
      <c r="M161" s="118"/>
      <c r="N161" s="118">
        <f>N6+N160</f>
        <v>554173651.72740924</v>
      </c>
    </row>
    <row r="162" spans="1:14" x14ac:dyDescent="0.25">
      <c r="H162" s="118"/>
      <c r="I162" s="118"/>
      <c r="J162" s="118"/>
      <c r="K162" s="118"/>
      <c r="L162" s="118"/>
      <c r="M162" s="118"/>
      <c r="N162" s="118"/>
    </row>
    <row r="163" spans="1:14" x14ac:dyDescent="0.25">
      <c r="A163" s="93" t="s">
        <v>392</v>
      </c>
      <c r="H163" s="118">
        <f>'По разделам 4'!J6</f>
        <v>1216035764.8331687</v>
      </c>
      <c r="I163" s="118"/>
      <c r="J163" s="118"/>
      <c r="K163" s="118">
        <f>'По разделам 4'!M6</f>
        <v>522389422.42517859</v>
      </c>
      <c r="L163" s="118"/>
      <c r="M163" s="118"/>
      <c r="N163" s="118">
        <f>'По разделам 4'!P6</f>
        <v>554173651.72740912</v>
      </c>
    </row>
    <row r="164" spans="1:14" x14ac:dyDescent="0.25">
      <c r="H164" s="118"/>
      <c r="I164" s="118"/>
      <c r="J164" s="118"/>
      <c r="K164" s="118"/>
      <c r="L164" s="118"/>
      <c r="M164" s="118"/>
      <c r="N164" s="118"/>
    </row>
    <row r="165" spans="1:14" x14ac:dyDescent="0.25">
      <c r="H165" s="118">
        <f>H161-H163</f>
        <v>0</v>
      </c>
      <c r="I165" s="118"/>
      <c r="J165" s="118"/>
      <c r="K165" s="118">
        <f>K161-K163</f>
        <v>0</v>
      </c>
      <c r="L165" s="118"/>
      <c r="M165" s="118"/>
      <c r="N165" s="118">
        <f>N161-N163</f>
        <v>0</v>
      </c>
    </row>
    <row r="166" spans="1:14" x14ac:dyDescent="0.25">
      <c r="H166" s="118"/>
      <c r="I166" s="118"/>
      <c r="J166" s="118"/>
      <c r="K166" s="118"/>
      <c r="L166" s="118"/>
      <c r="M166" s="118"/>
      <c r="N166" s="118"/>
    </row>
    <row r="167" spans="1:14" x14ac:dyDescent="0.25">
      <c r="H167" s="118"/>
      <c r="I167" s="118"/>
      <c r="J167" s="118"/>
      <c r="K167" s="118"/>
      <c r="L167" s="118"/>
      <c r="M167" s="118"/>
      <c r="N167" s="118"/>
    </row>
    <row r="168" spans="1:14" x14ac:dyDescent="0.25">
      <c r="H168" s="118"/>
      <c r="I168" s="118"/>
      <c r="J168" s="118"/>
      <c r="K168" s="118"/>
      <c r="L168" s="118"/>
      <c r="M168" s="118"/>
      <c r="N168" s="118"/>
    </row>
    <row r="173" spans="1:14" outlineLevel="1" x14ac:dyDescent="0.25"/>
    <row r="174" spans="1:14" outlineLevel="1" x14ac:dyDescent="0.25"/>
    <row r="175" spans="1:14" outlineLevel="1" x14ac:dyDescent="0.25"/>
  </sheetData>
  <mergeCells count="3"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zoomScaleNormal="100" workbookViewId="0">
      <selection activeCell="A2" sqref="A2:J2"/>
    </sheetView>
  </sheetViews>
  <sheetFormatPr defaultRowHeight="15" outlineLevelRow="1" outlineLevelCol="1" x14ac:dyDescent="0.25"/>
  <cols>
    <col min="1" max="1" width="80" style="93" customWidth="1"/>
    <col min="2" max="2" width="14.7109375" style="93" customWidth="1"/>
    <col min="3" max="3" width="7.5703125" style="93" customWidth="1"/>
    <col min="4" max="4" width="17.42578125" style="93" hidden="1" customWidth="1" outlineLevel="1"/>
    <col min="5" max="5" width="16" style="93" hidden="1" customWidth="1" outlineLevel="1"/>
    <col min="6" max="6" width="17.42578125" style="93" customWidth="1" collapsed="1"/>
    <col min="7" max="7" width="16" style="93" customWidth="1"/>
    <col min="8" max="8" width="17.42578125" style="93" customWidth="1"/>
    <col min="9" max="10" width="17.140625" style="93" customWidth="1"/>
    <col min="11" max="11" width="17.5703125" style="93" customWidth="1"/>
    <col min="12" max="12" width="21.140625" style="93" customWidth="1"/>
    <col min="13" max="13" width="12.28515625" style="93" customWidth="1"/>
    <col min="14" max="14" width="14.42578125" style="93" customWidth="1"/>
    <col min="15" max="15" width="16.42578125" style="93" customWidth="1"/>
    <col min="16" max="16384" width="9.140625" style="93"/>
  </cols>
  <sheetData>
    <row r="1" spans="1:14" x14ac:dyDescent="0.25">
      <c r="A1" s="93" t="s">
        <v>0</v>
      </c>
    </row>
    <row r="2" spans="1:14" ht="56.65" customHeight="1" x14ac:dyDescent="0.25">
      <c r="A2" s="224" t="s">
        <v>435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4" ht="38.25" customHeight="1" x14ac:dyDescent="0.25">
      <c r="A3" s="225" t="s">
        <v>374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4" ht="13.7" customHeight="1" x14ac:dyDescent="0.25">
      <c r="A4" s="227" t="s">
        <v>104</v>
      </c>
      <c r="B4" s="227"/>
      <c r="C4" s="227"/>
      <c r="D4" s="227"/>
      <c r="E4" s="227"/>
      <c r="F4" s="227"/>
      <c r="G4" s="227"/>
      <c r="H4" s="227"/>
      <c r="I4" s="227"/>
      <c r="J4" s="227"/>
    </row>
    <row r="5" spans="1:14" ht="28.9" customHeight="1" x14ac:dyDescent="0.25">
      <c r="A5" s="79" t="s">
        <v>2</v>
      </c>
      <c r="B5" s="79" t="s">
        <v>138</v>
      </c>
      <c r="C5" s="79" t="s">
        <v>139</v>
      </c>
      <c r="D5" s="79">
        <v>2023</v>
      </c>
      <c r="E5" s="16" t="s">
        <v>107</v>
      </c>
      <c r="F5" s="17">
        <v>2023</v>
      </c>
      <c r="G5" s="16" t="s">
        <v>107</v>
      </c>
      <c r="H5" s="17" t="s">
        <v>375</v>
      </c>
      <c r="I5" s="79">
        <v>2024</v>
      </c>
      <c r="J5" s="79">
        <v>2025</v>
      </c>
      <c r="K5" s="95"/>
    </row>
    <row r="6" spans="1:14" ht="13.15" customHeight="1" x14ac:dyDescent="0.25">
      <c r="A6" s="80" t="s">
        <v>140</v>
      </c>
      <c r="B6" s="79" t="s">
        <v>0</v>
      </c>
      <c r="C6" s="79" t="s">
        <v>0</v>
      </c>
      <c r="D6" s="73">
        <f>D7</f>
        <v>221604626.10000002</v>
      </c>
      <c r="E6" s="73">
        <f>E7</f>
        <v>3790419.1799999997</v>
      </c>
      <c r="F6" s="73">
        <f>F7</f>
        <v>225395045.28</v>
      </c>
      <c r="G6" s="73">
        <f>G7</f>
        <v>4680360.59</v>
      </c>
      <c r="H6" s="73">
        <f>H7</f>
        <v>230075405.87000003</v>
      </c>
      <c r="I6" s="73">
        <f t="shared" ref="I6:J6" si="0">I7</f>
        <v>234499833.11000001</v>
      </c>
      <c r="J6" s="73">
        <f t="shared" si="0"/>
        <v>256190479.25000006</v>
      </c>
      <c r="K6" s="95"/>
      <c r="L6" s="95"/>
      <c r="M6" s="95"/>
      <c r="N6" s="95"/>
    </row>
    <row r="7" spans="1:14" ht="14.45" customHeight="1" x14ac:dyDescent="0.25">
      <c r="A7" s="30" t="s">
        <v>145</v>
      </c>
      <c r="B7" s="31" t="s">
        <v>146</v>
      </c>
      <c r="C7" s="31" t="s">
        <v>0</v>
      </c>
      <c r="D7" s="33">
        <f t="shared" ref="D7:J7" si="1">D8+D28+D47+D50+D23</f>
        <v>221604626.10000002</v>
      </c>
      <c r="E7" s="33">
        <f t="shared" si="1"/>
        <v>3790419.1799999997</v>
      </c>
      <c r="F7" s="33">
        <f t="shared" si="1"/>
        <v>225395045.28</v>
      </c>
      <c r="G7" s="33">
        <f t="shared" si="1"/>
        <v>4680360.59</v>
      </c>
      <c r="H7" s="33">
        <f t="shared" si="1"/>
        <v>230075405.87000003</v>
      </c>
      <c r="I7" s="33">
        <f t="shared" si="1"/>
        <v>234499833.11000001</v>
      </c>
      <c r="J7" s="33">
        <f t="shared" si="1"/>
        <v>256190479.25000006</v>
      </c>
      <c r="L7" s="95"/>
    </row>
    <row r="8" spans="1:14" ht="16.5" customHeight="1" x14ac:dyDescent="0.25">
      <c r="A8" s="30" t="s">
        <v>147</v>
      </c>
      <c r="B8" s="31" t="s">
        <v>148</v>
      </c>
      <c r="C8" s="31" t="s">
        <v>0</v>
      </c>
      <c r="D8" s="33">
        <f t="shared" ref="D8:J8" si="2">D9+D13+D16+D19</f>
        <v>182177161.83000001</v>
      </c>
      <c r="E8" s="33">
        <f t="shared" si="2"/>
        <v>239123.97999999998</v>
      </c>
      <c r="F8" s="33">
        <f t="shared" si="2"/>
        <v>182416285.81</v>
      </c>
      <c r="G8" s="33">
        <f t="shared" si="2"/>
        <v>1836301.78</v>
      </c>
      <c r="H8" s="33">
        <f t="shared" si="2"/>
        <v>184252587.59000003</v>
      </c>
      <c r="I8" s="33">
        <f t="shared" si="2"/>
        <v>187315291.43000001</v>
      </c>
      <c r="J8" s="33">
        <f t="shared" si="2"/>
        <v>193740384.00000003</v>
      </c>
    </row>
    <row r="9" spans="1:14" x14ac:dyDescent="0.25">
      <c r="A9" s="34" t="s">
        <v>156</v>
      </c>
      <c r="B9" s="35" t="s">
        <v>170</v>
      </c>
      <c r="C9" s="35"/>
      <c r="D9" s="37">
        <f>D10+D11+D12</f>
        <v>167450688.71000001</v>
      </c>
      <c r="E9" s="37">
        <f>E10+E11+E12</f>
        <v>239123.97999999998</v>
      </c>
      <c r="F9" s="37">
        <f>F10+F11+F12</f>
        <v>167689812.69</v>
      </c>
      <c r="G9" s="37">
        <f>G10+G11+G12</f>
        <v>1328185.78</v>
      </c>
      <c r="H9" s="37">
        <f>H10+H11+H12</f>
        <v>169017998.47000003</v>
      </c>
      <c r="I9" s="37">
        <f t="shared" ref="I9:J9" si="3">I10+I11+I12</f>
        <v>172116970.72</v>
      </c>
      <c r="J9" s="37">
        <f t="shared" si="3"/>
        <v>177828822.56</v>
      </c>
    </row>
    <row r="10" spans="1:14" ht="14.45" customHeight="1" x14ac:dyDescent="0.25">
      <c r="A10" s="96" t="s">
        <v>151</v>
      </c>
      <c r="B10" s="49" t="s">
        <v>157</v>
      </c>
      <c r="C10" s="97" t="s">
        <v>152</v>
      </c>
      <c r="D10" s="99">
        <f>4894922+139999582.65</f>
        <v>144894504.65000001</v>
      </c>
      <c r="E10" s="99">
        <v>0</v>
      </c>
      <c r="F10" s="99">
        <f>D10+E10</f>
        <v>144894504.65000001</v>
      </c>
      <c r="G10" s="99">
        <f>'По разделам 4'!I32</f>
        <v>2239060.12</v>
      </c>
      <c r="H10" s="99">
        <f>F10+G10</f>
        <v>147133564.77000001</v>
      </c>
      <c r="I10" s="99">
        <f>5095320.92+144456317.3</f>
        <v>149551638.22</v>
      </c>
      <c r="J10" s="99">
        <f>5299127.16+149582382.71</f>
        <v>154881509.87</v>
      </c>
    </row>
    <row r="11" spans="1:14" ht="30" x14ac:dyDescent="0.25">
      <c r="A11" s="96" t="s">
        <v>153</v>
      </c>
      <c r="B11" s="49" t="s">
        <v>157</v>
      </c>
      <c r="C11" s="97" t="s">
        <v>158</v>
      </c>
      <c r="D11" s="101">
        <f>21517636.89+283448.17</f>
        <v>21801085.060000002</v>
      </c>
      <c r="E11" s="102">
        <v>239123.97999999998</v>
      </c>
      <c r="F11" s="99">
        <f>D11+E11</f>
        <v>22040209.040000003</v>
      </c>
      <c r="G11" s="99">
        <f>'По разделам 4'!I33</f>
        <v>-910874.34000000008</v>
      </c>
      <c r="H11" s="99">
        <f>F11+G11</f>
        <v>21129334.700000003</v>
      </c>
      <c r="I11" s="103">
        <f>21771915.11+127423.39</f>
        <v>21899338.5</v>
      </c>
      <c r="J11" s="103">
        <f>22202978.37+131368.32</f>
        <v>22334346.690000001</v>
      </c>
    </row>
    <row r="12" spans="1:14" ht="14.45" customHeight="1" x14ac:dyDescent="0.25">
      <c r="A12" s="96" t="s">
        <v>172</v>
      </c>
      <c r="B12" s="49" t="s">
        <v>157</v>
      </c>
      <c r="C12" s="97" t="s">
        <v>173</v>
      </c>
      <c r="D12" s="99">
        <v>755099</v>
      </c>
      <c r="E12" s="99">
        <v>0</v>
      </c>
      <c r="F12" s="99">
        <f>D12+E12</f>
        <v>755099</v>
      </c>
      <c r="G12" s="99">
        <f>'По разделам 4'!I34</f>
        <v>0</v>
      </c>
      <c r="H12" s="99">
        <f>F12+G12</f>
        <v>755099</v>
      </c>
      <c r="I12" s="99">
        <v>665994</v>
      </c>
      <c r="J12" s="99">
        <v>612966</v>
      </c>
    </row>
    <row r="13" spans="1:14" ht="14.45" customHeight="1" x14ac:dyDescent="0.25">
      <c r="A13" s="34" t="s">
        <v>149</v>
      </c>
      <c r="B13" s="35" t="s">
        <v>150</v>
      </c>
      <c r="C13" s="35" t="s">
        <v>0</v>
      </c>
      <c r="D13" s="37">
        <f>D14+D15</f>
        <v>8498112.1999999993</v>
      </c>
      <c r="E13" s="37">
        <f>E14+E15</f>
        <v>0</v>
      </c>
      <c r="F13" s="37">
        <f>F14+F15</f>
        <v>8498112.1999999993</v>
      </c>
      <c r="G13" s="37">
        <f>G14+G15</f>
        <v>500616</v>
      </c>
      <c r="H13" s="37">
        <f>H14+H15</f>
        <v>8998728.1999999993</v>
      </c>
      <c r="I13" s="37">
        <f t="shared" ref="I13:J13" si="4">I14+I15</f>
        <v>8843913.1300000008</v>
      </c>
      <c r="J13" s="37">
        <f t="shared" si="4"/>
        <v>9173279.3300000001</v>
      </c>
    </row>
    <row r="14" spans="1:14" ht="14.45" customHeight="1" x14ac:dyDescent="0.25">
      <c r="A14" s="96" t="s">
        <v>151</v>
      </c>
      <c r="B14" s="49" t="s">
        <v>150</v>
      </c>
      <c r="C14" s="97" t="s">
        <v>152</v>
      </c>
      <c r="D14" s="38">
        <v>8438112.1999999993</v>
      </c>
      <c r="E14" s="38">
        <v>0</v>
      </c>
      <c r="F14" s="99">
        <f>D14+E14</f>
        <v>8438112.1999999993</v>
      </c>
      <c r="G14" s="38">
        <f>'По разделам 4'!I12</f>
        <v>350616</v>
      </c>
      <c r="H14" s="99">
        <f>F14+G14</f>
        <v>8788728.1999999993</v>
      </c>
      <c r="I14" s="38">
        <v>8783913.1300000008</v>
      </c>
      <c r="J14" s="39">
        <v>9113279.3300000001</v>
      </c>
    </row>
    <row r="15" spans="1:14" ht="14.45" customHeight="1" x14ac:dyDescent="0.25">
      <c r="A15" s="96" t="s">
        <v>153</v>
      </c>
      <c r="B15" s="49" t="s">
        <v>150</v>
      </c>
      <c r="C15" s="97">
        <v>200</v>
      </c>
      <c r="D15" s="40">
        <v>60000</v>
      </c>
      <c r="E15" s="40">
        <v>0</v>
      </c>
      <c r="F15" s="99">
        <f>D15+E15</f>
        <v>60000</v>
      </c>
      <c r="G15" s="38">
        <f>'По разделам 4'!I13</f>
        <v>150000</v>
      </c>
      <c r="H15" s="99">
        <f>F15+G15</f>
        <v>210000</v>
      </c>
      <c r="I15" s="40">
        <v>60000</v>
      </c>
      <c r="J15" s="41">
        <v>60000</v>
      </c>
    </row>
    <row r="16" spans="1:14" x14ac:dyDescent="0.25">
      <c r="A16" s="34" t="s">
        <v>159</v>
      </c>
      <c r="B16" s="35" t="s">
        <v>160</v>
      </c>
      <c r="C16" s="35" t="s">
        <v>0</v>
      </c>
      <c r="D16" s="37">
        <f>D17+D18</f>
        <v>590295.99</v>
      </c>
      <c r="E16" s="37">
        <f>E17+E18</f>
        <v>0</v>
      </c>
      <c r="F16" s="37">
        <f>F17+F18</f>
        <v>590295.99</v>
      </c>
      <c r="G16" s="37">
        <f>G17+G18</f>
        <v>0</v>
      </c>
      <c r="H16" s="37">
        <f>H17+H18</f>
        <v>590295.99</v>
      </c>
      <c r="I16" s="37">
        <f t="shared" ref="I16" si="5">I17+I18</f>
        <v>611910.77</v>
      </c>
      <c r="J16" s="37">
        <f>J17+J18</f>
        <v>636369.59000000008</v>
      </c>
    </row>
    <row r="17" spans="1:10" ht="14.45" customHeight="1" x14ac:dyDescent="0.25">
      <c r="A17" s="96" t="s">
        <v>151</v>
      </c>
      <c r="B17" s="49" t="s">
        <v>160</v>
      </c>
      <c r="C17" s="97" t="s">
        <v>152</v>
      </c>
      <c r="D17" s="99">
        <v>450012</v>
      </c>
      <c r="E17" s="99">
        <v>0</v>
      </c>
      <c r="F17" s="99">
        <f>D17+E17</f>
        <v>450012</v>
      </c>
      <c r="G17" s="99">
        <v>0</v>
      </c>
      <c r="H17" s="99">
        <f>F17+G17</f>
        <v>450012</v>
      </c>
      <c r="I17" s="99">
        <v>465734.85</v>
      </c>
      <c r="J17" s="99">
        <v>484346.64</v>
      </c>
    </row>
    <row r="18" spans="1:10" ht="30" x14ac:dyDescent="0.25">
      <c r="A18" s="96" t="s">
        <v>153</v>
      </c>
      <c r="B18" s="49" t="s">
        <v>160</v>
      </c>
      <c r="C18" s="97" t="s">
        <v>158</v>
      </c>
      <c r="D18" s="99">
        <v>140283.99</v>
      </c>
      <c r="E18" s="99">
        <v>0</v>
      </c>
      <c r="F18" s="99">
        <f>D18+E18</f>
        <v>140283.99</v>
      </c>
      <c r="G18" s="99">
        <v>0</v>
      </c>
      <c r="H18" s="99">
        <f>F18+G18</f>
        <v>140283.99</v>
      </c>
      <c r="I18" s="99">
        <v>146175.92000000001</v>
      </c>
      <c r="J18" s="99">
        <v>152022.95000000001</v>
      </c>
    </row>
    <row r="19" spans="1:10" ht="15.75" customHeight="1" x14ac:dyDescent="0.25">
      <c r="A19" s="34" t="s">
        <v>176</v>
      </c>
      <c r="B19" s="35" t="s">
        <v>177</v>
      </c>
      <c r="C19" s="35" t="s">
        <v>0</v>
      </c>
      <c r="D19" s="37">
        <f>D20+D21+D22</f>
        <v>5638064.9299999997</v>
      </c>
      <c r="E19" s="37">
        <f>E20+E21+E22</f>
        <v>0</v>
      </c>
      <c r="F19" s="37">
        <f>F20+F21+F22</f>
        <v>5638064.9299999997</v>
      </c>
      <c r="G19" s="37">
        <f>G20+G21+G22</f>
        <v>7500</v>
      </c>
      <c r="H19" s="37">
        <f>H20+H21+H22</f>
        <v>5645564.9299999997</v>
      </c>
      <c r="I19" s="37">
        <f t="shared" ref="I19:J19" si="6">I20+I21+I22</f>
        <v>5742496.8099999996</v>
      </c>
      <c r="J19" s="37">
        <f t="shared" si="6"/>
        <v>6101912.5200000005</v>
      </c>
    </row>
    <row r="20" spans="1:10" ht="14.45" customHeight="1" x14ac:dyDescent="0.25">
      <c r="A20" s="96" t="s">
        <v>151</v>
      </c>
      <c r="B20" s="49" t="s">
        <v>177</v>
      </c>
      <c r="C20" s="97" t="s">
        <v>152</v>
      </c>
      <c r="D20" s="99">
        <v>5396063.4299999997</v>
      </c>
      <c r="E20" s="99">
        <v>0</v>
      </c>
      <c r="F20" s="99">
        <f>D20+E20</f>
        <v>5396063.4299999997</v>
      </c>
      <c r="G20" s="99">
        <f>'По разделам 4'!I40</f>
        <v>0</v>
      </c>
      <c r="H20" s="99">
        <f>F20+G20</f>
        <v>5396063.4299999997</v>
      </c>
      <c r="I20" s="99">
        <v>5491339.25</v>
      </c>
      <c r="J20" s="99">
        <v>5841668.6500000004</v>
      </c>
    </row>
    <row r="21" spans="1:10" ht="30" x14ac:dyDescent="0.25">
      <c r="A21" s="96" t="s">
        <v>153</v>
      </c>
      <c r="B21" s="49" t="s">
        <v>177</v>
      </c>
      <c r="C21" s="97" t="s">
        <v>158</v>
      </c>
      <c r="D21" s="99">
        <v>230501.5</v>
      </c>
      <c r="E21" s="99">
        <v>0</v>
      </c>
      <c r="F21" s="99">
        <f>D21+E21</f>
        <v>230501.5</v>
      </c>
      <c r="G21" s="99">
        <f>'По разделам 4'!I41</f>
        <v>0</v>
      </c>
      <c r="H21" s="99">
        <f>F21+G21</f>
        <v>230501.5</v>
      </c>
      <c r="I21" s="99">
        <v>239174.56</v>
      </c>
      <c r="J21" s="99">
        <v>247781.55000000002</v>
      </c>
    </row>
    <row r="22" spans="1:10" ht="14.45" customHeight="1" x14ac:dyDescent="0.25">
      <c r="A22" s="96" t="s">
        <v>172</v>
      </c>
      <c r="B22" s="49" t="s">
        <v>177</v>
      </c>
      <c r="C22" s="97" t="s">
        <v>173</v>
      </c>
      <c r="D22" s="99">
        <v>11500</v>
      </c>
      <c r="E22" s="99">
        <v>0</v>
      </c>
      <c r="F22" s="99">
        <f>D22+E22</f>
        <v>11500</v>
      </c>
      <c r="G22" s="99">
        <f>'По разделам 4'!I42</f>
        <v>7500</v>
      </c>
      <c r="H22" s="99">
        <f>F22+G22</f>
        <v>19000</v>
      </c>
      <c r="I22" s="99">
        <v>11983</v>
      </c>
      <c r="J22" s="99">
        <v>12462.32</v>
      </c>
    </row>
    <row r="23" spans="1:10" ht="14.45" hidden="1" customHeight="1" outlineLevel="1" x14ac:dyDescent="0.25">
      <c r="A23" s="30" t="s">
        <v>376</v>
      </c>
      <c r="B23" s="31" t="s">
        <v>377</v>
      </c>
      <c r="C23" s="97"/>
      <c r="D23" s="33">
        <f>D24+D26</f>
        <v>0</v>
      </c>
      <c r="E23" s="33">
        <f>E24+E26</f>
        <v>0</v>
      </c>
      <c r="F23" s="33">
        <f>F24+F26</f>
        <v>0</v>
      </c>
      <c r="G23" s="33">
        <f>G24+G26</f>
        <v>0</v>
      </c>
      <c r="H23" s="33">
        <f>H24+H26</f>
        <v>0</v>
      </c>
      <c r="I23" s="33">
        <f t="shared" ref="I23:J23" si="7">I24+I26</f>
        <v>0</v>
      </c>
      <c r="J23" s="33">
        <f t="shared" si="7"/>
        <v>0</v>
      </c>
    </row>
    <row r="24" spans="1:10" ht="14.45" hidden="1" customHeight="1" outlineLevel="1" x14ac:dyDescent="0.25">
      <c r="A24" s="81" t="s">
        <v>378</v>
      </c>
      <c r="B24" s="82" t="s">
        <v>379</v>
      </c>
      <c r="C24" s="97"/>
      <c r="D24" s="37">
        <f>D25</f>
        <v>0</v>
      </c>
      <c r="E24" s="37">
        <f>E25</f>
        <v>0</v>
      </c>
      <c r="F24" s="37">
        <f>F25</f>
        <v>0</v>
      </c>
      <c r="G24" s="37">
        <f>G25</f>
        <v>0</v>
      </c>
      <c r="H24" s="37">
        <f>H25</f>
        <v>0</v>
      </c>
      <c r="I24" s="37">
        <f t="shared" ref="I24:J24" si="8">I25</f>
        <v>0</v>
      </c>
      <c r="J24" s="37">
        <f t="shared" si="8"/>
        <v>0</v>
      </c>
    </row>
    <row r="25" spans="1:10" ht="14.45" hidden="1" customHeight="1" outlineLevel="1" x14ac:dyDescent="0.2">
      <c r="A25" s="83" t="s">
        <v>172</v>
      </c>
      <c r="B25" s="84" t="s">
        <v>380</v>
      </c>
      <c r="C25" s="97">
        <v>800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</row>
    <row r="26" spans="1:10" ht="14.45" hidden="1" customHeight="1" outlineLevel="1" x14ac:dyDescent="0.25">
      <c r="A26" s="81" t="s">
        <v>381</v>
      </c>
      <c r="B26" s="82" t="s">
        <v>382</v>
      </c>
      <c r="C26" s="97"/>
      <c r="D26" s="37">
        <f>D27</f>
        <v>0</v>
      </c>
      <c r="E26" s="37">
        <f>E27</f>
        <v>0</v>
      </c>
      <c r="F26" s="37">
        <f>F27</f>
        <v>0</v>
      </c>
      <c r="G26" s="37">
        <f>G27</f>
        <v>0</v>
      </c>
      <c r="H26" s="37">
        <f>H27</f>
        <v>0</v>
      </c>
      <c r="I26" s="37">
        <f t="shared" ref="I26:J26" si="9">I27</f>
        <v>0</v>
      </c>
      <c r="J26" s="37">
        <f t="shared" si="9"/>
        <v>0</v>
      </c>
    </row>
    <row r="27" spans="1:10" ht="14.45" hidden="1" customHeight="1" outlineLevel="1" x14ac:dyDescent="0.25">
      <c r="A27" s="66" t="s">
        <v>172</v>
      </c>
      <c r="B27" s="50" t="s">
        <v>382</v>
      </c>
      <c r="C27" s="97">
        <v>800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</row>
    <row r="28" spans="1:10" ht="14.45" customHeight="1" collapsed="1" x14ac:dyDescent="0.25">
      <c r="A28" s="30" t="s">
        <v>180</v>
      </c>
      <c r="B28" s="31" t="s">
        <v>181</v>
      </c>
      <c r="C28" s="31" t="s">
        <v>0</v>
      </c>
      <c r="D28" s="33">
        <f>D29+D31+D33+D37+D40+D42</f>
        <v>38440024.809999995</v>
      </c>
      <c r="E28" s="33">
        <f>E29+E31+E33+E37+E40+E42</f>
        <v>3551295.1999999997</v>
      </c>
      <c r="F28" s="33">
        <f>F29+F31+F33+F37+F40+F42</f>
        <v>41991320.009999998</v>
      </c>
      <c r="G28" s="33">
        <f>G29+G31+G33+G37+G40+G42</f>
        <v>2844058.81</v>
      </c>
      <c r="H28" s="33">
        <f>H29+H31+H33+H37+H40+H42</f>
        <v>44835378.82</v>
      </c>
      <c r="I28" s="33">
        <f t="shared" ref="I28:J28" si="10">I29+I31+I33+I37+I40+I42</f>
        <v>33520774.84</v>
      </c>
      <c r="J28" s="33">
        <f t="shared" si="10"/>
        <v>35168672.369999997</v>
      </c>
    </row>
    <row r="29" spans="1:10" ht="14.45" customHeight="1" x14ac:dyDescent="0.25">
      <c r="A29" s="34" t="s">
        <v>182</v>
      </c>
      <c r="B29" s="35" t="s">
        <v>183</v>
      </c>
      <c r="C29" s="35" t="s">
        <v>0</v>
      </c>
      <c r="D29" s="37">
        <f>D30</f>
        <v>1298205.94</v>
      </c>
      <c r="E29" s="37">
        <f>E30</f>
        <v>2085345.9</v>
      </c>
      <c r="F29" s="37">
        <f>F30</f>
        <v>3383551.84</v>
      </c>
      <c r="G29" s="37">
        <f>G30</f>
        <v>2594756.83</v>
      </c>
      <c r="H29" s="37">
        <f>H30</f>
        <v>5978308.6699999999</v>
      </c>
      <c r="I29" s="37">
        <f t="shared" ref="I29:J29" si="11">I30</f>
        <v>1000000</v>
      </c>
      <c r="J29" s="37">
        <f t="shared" si="11"/>
        <v>1000000</v>
      </c>
    </row>
    <row r="30" spans="1:10" ht="14.45" customHeight="1" x14ac:dyDescent="0.25">
      <c r="A30" s="96" t="s">
        <v>172</v>
      </c>
      <c r="B30" s="49" t="s">
        <v>183</v>
      </c>
      <c r="C30" s="97" t="s">
        <v>173</v>
      </c>
      <c r="D30" s="44">
        <v>1298205.94</v>
      </c>
      <c r="E30" s="44">
        <v>2085345.9</v>
      </c>
      <c r="F30" s="99">
        <f>D30+E30</f>
        <v>3383551.84</v>
      </c>
      <c r="G30" s="44">
        <f>'По разделам 4'!I47</f>
        <v>2594756.83</v>
      </c>
      <c r="H30" s="99">
        <f>F30+G30</f>
        <v>5978308.6699999999</v>
      </c>
      <c r="I30" s="44">
        <v>1000000</v>
      </c>
      <c r="J30" s="44">
        <v>1000000</v>
      </c>
    </row>
    <row r="31" spans="1:10" ht="27" x14ac:dyDescent="0.25">
      <c r="A31" s="34" t="s">
        <v>184</v>
      </c>
      <c r="B31" s="35" t="s">
        <v>185</v>
      </c>
      <c r="C31" s="35" t="s">
        <v>0</v>
      </c>
      <c r="D31" s="37">
        <f>D32</f>
        <v>1500000</v>
      </c>
      <c r="E31" s="37">
        <f>E32</f>
        <v>0</v>
      </c>
      <c r="F31" s="37">
        <f>F32</f>
        <v>1500000</v>
      </c>
      <c r="G31" s="37">
        <f>G32</f>
        <v>0</v>
      </c>
      <c r="H31" s="37">
        <f>H32</f>
        <v>1500000</v>
      </c>
      <c r="I31" s="37">
        <f t="shared" ref="I31:J31" si="12">I32</f>
        <v>1500000</v>
      </c>
      <c r="J31" s="37">
        <f t="shared" si="12"/>
        <v>1500000</v>
      </c>
    </row>
    <row r="32" spans="1:10" ht="14.45" customHeight="1" x14ac:dyDescent="0.25">
      <c r="A32" s="96" t="s">
        <v>172</v>
      </c>
      <c r="B32" s="49" t="s">
        <v>185</v>
      </c>
      <c r="C32" s="97" t="s">
        <v>173</v>
      </c>
      <c r="D32" s="99">
        <v>1500000</v>
      </c>
      <c r="E32" s="99">
        <v>0</v>
      </c>
      <c r="F32" s="99">
        <f>D32+E32</f>
        <v>1500000</v>
      </c>
      <c r="G32" s="99">
        <v>0</v>
      </c>
      <c r="H32" s="99">
        <f>F32+G32</f>
        <v>1500000</v>
      </c>
      <c r="I32" s="99">
        <v>1500000</v>
      </c>
      <c r="J32" s="99">
        <v>1500000</v>
      </c>
    </row>
    <row r="33" spans="1:10" hidden="1" outlineLevel="1" x14ac:dyDescent="0.25">
      <c r="A33" s="34" t="s">
        <v>383</v>
      </c>
      <c r="B33" s="35" t="s">
        <v>384</v>
      </c>
      <c r="C33" s="35" t="s">
        <v>0</v>
      </c>
      <c r="D33" s="37">
        <f>D34+D35+D36</f>
        <v>0</v>
      </c>
      <c r="E33" s="37">
        <f>E34+E35+E36</f>
        <v>0</v>
      </c>
      <c r="F33" s="37">
        <f>F34+F35+F36</f>
        <v>0</v>
      </c>
      <c r="G33" s="37">
        <f>G34+G35+G36</f>
        <v>0</v>
      </c>
      <c r="H33" s="37">
        <f>H34+H35+H36</f>
        <v>0</v>
      </c>
      <c r="I33" s="37">
        <f t="shared" ref="I33:J33" si="13">I34+I35+I36</f>
        <v>0</v>
      </c>
      <c r="J33" s="37">
        <f t="shared" si="13"/>
        <v>0</v>
      </c>
    </row>
    <row r="34" spans="1:10" ht="30" hidden="1" outlineLevel="1" x14ac:dyDescent="0.25">
      <c r="A34" s="96" t="s">
        <v>153</v>
      </c>
      <c r="B34" s="97" t="s">
        <v>384</v>
      </c>
      <c r="C34" s="97" t="s">
        <v>158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</row>
    <row r="35" spans="1:10" hidden="1" outlineLevel="1" x14ac:dyDescent="0.25">
      <c r="A35" s="96" t="s">
        <v>209</v>
      </c>
      <c r="B35" s="97" t="s">
        <v>384</v>
      </c>
      <c r="C35" s="97" t="s">
        <v>210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</row>
    <row r="36" spans="1:10" ht="14.45" hidden="1" customHeight="1" outlineLevel="1" x14ac:dyDescent="0.25">
      <c r="A36" s="96" t="s">
        <v>343</v>
      </c>
      <c r="B36" s="97" t="s">
        <v>384</v>
      </c>
      <c r="C36" s="97" t="s">
        <v>344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</row>
    <row r="37" spans="1:10" collapsed="1" x14ac:dyDescent="0.25">
      <c r="A37" s="34" t="s">
        <v>241</v>
      </c>
      <c r="B37" s="35" t="s">
        <v>242</v>
      </c>
      <c r="C37" s="35" t="s">
        <v>0</v>
      </c>
      <c r="D37" s="37">
        <f>D38+D39</f>
        <v>25000000</v>
      </c>
      <c r="E37" s="37">
        <f>E38+E39</f>
        <v>1411103.65</v>
      </c>
      <c r="F37" s="37">
        <f>F38+F39</f>
        <v>26411103.649999999</v>
      </c>
      <c r="G37" s="37">
        <f>G38+G39</f>
        <v>21415</v>
      </c>
      <c r="H37" s="37">
        <f>H38+H39</f>
        <v>26432518.649999999</v>
      </c>
      <c r="I37" s="37">
        <f t="shared" ref="I37:J37" si="14">I38+I39</f>
        <v>26550000</v>
      </c>
      <c r="J37" s="37">
        <f t="shared" si="14"/>
        <v>27612000</v>
      </c>
    </row>
    <row r="38" spans="1:10" ht="30" x14ac:dyDescent="0.25">
      <c r="A38" s="96" t="s">
        <v>153</v>
      </c>
      <c r="B38" s="49" t="s">
        <v>242</v>
      </c>
      <c r="C38" s="97" t="s">
        <v>158</v>
      </c>
      <c r="D38" s="103">
        <v>25000000</v>
      </c>
      <c r="E38" s="103">
        <v>1411103.65</v>
      </c>
      <c r="F38" s="99">
        <f>D38+E38</f>
        <v>26411103.649999999</v>
      </c>
      <c r="G38" s="103">
        <f>'По разделам 4'!I108</f>
        <v>21415</v>
      </c>
      <c r="H38" s="99">
        <f>F38+G38</f>
        <v>26432518.649999999</v>
      </c>
      <c r="I38" s="103">
        <v>26550000</v>
      </c>
      <c r="J38" s="103">
        <v>27612000</v>
      </c>
    </row>
    <row r="39" spans="1:10" x14ac:dyDescent="0.25">
      <c r="A39" s="96" t="s">
        <v>209</v>
      </c>
      <c r="B39" s="49" t="s">
        <v>242</v>
      </c>
      <c r="C39" s="97" t="s">
        <v>210</v>
      </c>
      <c r="D39" s="99">
        <v>0</v>
      </c>
      <c r="E39" s="99">
        <v>0</v>
      </c>
      <c r="F39" s="99">
        <f>D39+E39</f>
        <v>0</v>
      </c>
      <c r="G39" s="99">
        <v>0</v>
      </c>
      <c r="H39" s="99">
        <f>F39+G39</f>
        <v>0</v>
      </c>
      <c r="I39" s="99">
        <v>0</v>
      </c>
      <c r="J39" s="99">
        <v>0</v>
      </c>
    </row>
    <row r="40" spans="1:10" ht="27" x14ac:dyDescent="0.25">
      <c r="A40" s="34" t="s">
        <v>205</v>
      </c>
      <c r="B40" s="35" t="s">
        <v>206</v>
      </c>
      <c r="C40" s="35" t="s">
        <v>0</v>
      </c>
      <c r="D40" s="37">
        <f>D41</f>
        <v>6641958</v>
      </c>
      <c r="E40" s="37">
        <f>E41</f>
        <v>54845.65</v>
      </c>
      <c r="F40" s="37">
        <f>F41</f>
        <v>6696803.6500000004</v>
      </c>
      <c r="G40" s="37">
        <f>G41</f>
        <v>252086.98</v>
      </c>
      <c r="H40" s="37">
        <f>H41</f>
        <v>6948890.6300000008</v>
      </c>
      <c r="I40" s="37">
        <f t="shared" ref="I40:J40" si="15">I41</f>
        <v>400000</v>
      </c>
      <c r="J40" s="37">
        <f t="shared" si="15"/>
        <v>100000</v>
      </c>
    </row>
    <row r="41" spans="1:10" ht="14.45" customHeight="1" x14ac:dyDescent="0.25">
      <c r="A41" s="96" t="s">
        <v>172</v>
      </c>
      <c r="B41" s="49" t="s">
        <v>206</v>
      </c>
      <c r="C41" s="97" t="s">
        <v>173</v>
      </c>
      <c r="D41" s="103">
        <v>6641958</v>
      </c>
      <c r="E41" s="103">
        <v>54845.65</v>
      </c>
      <c r="F41" s="99">
        <f>D41+E41</f>
        <v>6696803.6500000004</v>
      </c>
      <c r="G41" s="103">
        <f>'По разделам 4'!I71</f>
        <v>252086.98</v>
      </c>
      <c r="H41" s="99">
        <f>F41+G41</f>
        <v>6948890.6300000008</v>
      </c>
      <c r="I41" s="103">
        <v>400000</v>
      </c>
      <c r="J41" s="103">
        <v>100000</v>
      </c>
    </row>
    <row r="42" spans="1:10" x14ac:dyDescent="0.25">
      <c r="A42" s="34" t="s">
        <v>207</v>
      </c>
      <c r="B42" s="35" t="s">
        <v>208</v>
      </c>
      <c r="C42" s="35" t="s">
        <v>0</v>
      </c>
      <c r="D42" s="37">
        <f>D43+D44+D45+D46</f>
        <v>3999860.87</v>
      </c>
      <c r="E42" s="37">
        <f>E43+E44+E45+E46</f>
        <v>0</v>
      </c>
      <c r="F42" s="37">
        <f>F43+F44+F45+F46</f>
        <v>3999860.87</v>
      </c>
      <c r="G42" s="37">
        <f>G43+G44+G45+G46</f>
        <v>-24200</v>
      </c>
      <c r="H42" s="37">
        <f>H43+H44+H45+H46</f>
        <v>3975660.87</v>
      </c>
      <c r="I42" s="37">
        <f t="shared" ref="I42:J42" si="16">I43+I44+I45+I46</f>
        <v>4070774.8400000003</v>
      </c>
      <c r="J42" s="37">
        <f t="shared" si="16"/>
        <v>4956672.37</v>
      </c>
    </row>
    <row r="43" spans="1:10" ht="30" x14ac:dyDescent="0.25">
      <c r="A43" s="96" t="s">
        <v>153</v>
      </c>
      <c r="B43" s="49" t="s">
        <v>208</v>
      </c>
      <c r="C43" s="97" t="s">
        <v>158</v>
      </c>
      <c r="D43" s="103">
        <v>3022079.62</v>
      </c>
      <c r="E43" s="103">
        <v>0</v>
      </c>
      <c r="F43" s="99">
        <f>D43+E43</f>
        <v>3022079.62</v>
      </c>
      <c r="G43" s="103">
        <f>'По разделам 4'!I73</f>
        <v>-41000</v>
      </c>
      <c r="H43" s="99">
        <f>F43+G43</f>
        <v>2981079.62</v>
      </c>
      <c r="I43" s="103">
        <v>3081116.7800000003</v>
      </c>
      <c r="J43" s="103">
        <v>3515227.98</v>
      </c>
    </row>
    <row r="44" spans="1:10" x14ac:dyDescent="0.25">
      <c r="A44" s="96" t="s">
        <v>209</v>
      </c>
      <c r="B44" s="49" t="s">
        <v>208</v>
      </c>
      <c r="C44" s="97" t="s">
        <v>210</v>
      </c>
      <c r="D44" s="103">
        <v>695000</v>
      </c>
      <c r="E44" s="103">
        <v>0</v>
      </c>
      <c r="F44" s="99">
        <f>D44+E44</f>
        <v>695000</v>
      </c>
      <c r="G44" s="103">
        <f>'По разделам 4'!I74</f>
        <v>0</v>
      </c>
      <c r="H44" s="99">
        <f>F44+G44</f>
        <v>695000</v>
      </c>
      <c r="I44" s="103">
        <v>695000</v>
      </c>
      <c r="J44" s="103">
        <v>1135000</v>
      </c>
    </row>
    <row r="45" spans="1:10" ht="30" hidden="1" outlineLevel="1" x14ac:dyDescent="0.25">
      <c r="A45" s="96" t="s">
        <v>305</v>
      </c>
      <c r="B45" s="97" t="s">
        <v>385</v>
      </c>
      <c r="C45" s="97">
        <v>600</v>
      </c>
      <c r="D45" s="99">
        <v>0</v>
      </c>
      <c r="E45" s="99">
        <v>0</v>
      </c>
      <c r="F45" s="99">
        <v>0</v>
      </c>
      <c r="G45" s="103">
        <v>0</v>
      </c>
      <c r="H45" s="99">
        <v>0</v>
      </c>
      <c r="I45" s="99">
        <v>0</v>
      </c>
      <c r="J45" s="99">
        <v>0</v>
      </c>
    </row>
    <row r="46" spans="1:10" ht="14.45" customHeight="1" collapsed="1" x14ac:dyDescent="0.25">
      <c r="A46" s="96" t="s">
        <v>172</v>
      </c>
      <c r="B46" s="49" t="s">
        <v>208</v>
      </c>
      <c r="C46" s="97" t="s">
        <v>173</v>
      </c>
      <c r="D46" s="103">
        <v>282781.25</v>
      </c>
      <c r="E46" s="103">
        <v>0</v>
      </c>
      <c r="F46" s="99">
        <f>D46+E46</f>
        <v>282781.25</v>
      </c>
      <c r="G46" s="103">
        <f>'По разделам 4'!I75</f>
        <v>16800</v>
      </c>
      <c r="H46" s="99">
        <f>F46+G46</f>
        <v>299581.25</v>
      </c>
      <c r="I46" s="103">
        <v>294658.06</v>
      </c>
      <c r="J46" s="103">
        <v>306444.39</v>
      </c>
    </row>
    <row r="47" spans="1:10" ht="14.45" customHeight="1" x14ac:dyDescent="0.25">
      <c r="A47" s="30" t="s">
        <v>343</v>
      </c>
      <c r="B47" s="31" t="s">
        <v>371</v>
      </c>
      <c r="C47" s="31" t="s">
        <v>0</v>
      </c>
      <c r="D47" s="33">
        <f t="shared" ref="D47:J48" si="17">D48</f>
        <v>987439.46</v>
      </c>
      <c r="E47" s="33">
        <f t="shared" si="17"/>
        <v>0</v>
      </c>
      <c r="F47" s="33">
        <f t="shared" si="17"/>
        <v>987439.46</v>
      </c>
      <c r="G47" s="33">
        <f t="shared" si="17"/>
        <v>0</v>
      </c>
      <c r="H47" s="33">
        <f t="shared" si="17"/>
        <v>987439.46</v>
      </c>
      <c r="I47" s="33">
        <f t="shared" si="17"/>
        <v>987439.46</v>
      </c>
      <c r="J47" s="33">
        <f t="shared" si="17"/>
        <v>987439.46</v>
      </c>
    </row>
    <row r="48" spans="1:10" ht="40.5" x14ac:dyDescent="0.25">
      <c r="A48" s="34" t="s">
        <v>372</v>
      </c>
      <c r="B48" s="35" t="s">
        <v>373</v>
      </c>
      <c r="C48" s="35" t="s">
        <v>0</v>
      </c>
      <c r="D48" s="37">
        <f t="shared" si="17"/>
        <v>987439.46</v>
      </c>
      <c r="E48" s="37">
        <f t="shared" si="17"/>
        <v>0</v>
      </c>
      <c r="F48" s="37">
        <f t="shared" si="17"/>
        <v>987439.46</v>
      </c>
      <c r="G48" s="37">
        <f t="shared" si="17"/>
        <v>0</v>
      </c>
      <c r="H48" s="37">
        <f t="shared" si="17"/>
        <v>987439.46</v>
      </c>
      <c r="I48" s="37">
        <f t="shared" si="17"/>
        <v>987439.46</v>
      </c>
      <c r="J48" s="37">
        <f t="shared" si="17"/>
        <v>987439.46</v>
      </c>
    </row>
    <row r="49" spans="1:10" ht="14.45" customHeight="1" x14ac:dyDescent="0.25">
      <c r="A49" s="96" t="s">
        <v>343</v>
      </c>
      <c r="B49" s="49" t="s">
        <v>373</v>
      </c>
      <c r="C49" s="97" t="s">
        <v>344</v>
      </c>
      <c r="D49" s="103">
        <v>987439.46</v>
      </c>
      <c r="E49" s="103">
        <v>0</v>
      </c>
      <c r="F49" s="99">
        <f>D49+E49</f>
        <v>987439.46</v>
      </c>
      <c r="G49" s="103">
        <v>0</v>
      </c>
      <c r="H49" s="99">
        <f>F49+G49</f>
        <v>987439.46</v>
      </c>
      <c r="I49" s="103">
        <v>987439.46</v>
      </c>
      <c r="J49" s="103">
        <v>987439.46</v>
      </c>
    </row>
    <row r="50" spans="1:10" ht="14.45" customHeight="1" x14ac:dyDescent="0.25">
      <c r="A50" s="30" t="s">
        <v>211</v>
      </c>
      <c r="B50" s="31" t="s">
        <v>212</v>
      </c>
      <c r="C50" s="31" t="s">
        <v>0</v>
      </c>
      <c r="D50" s="33">
        <f t="shared" ref="D50:J51" si="18">D51</f>
        <v>0</v>
      </c>
      <c r="E50" s="33">
        <f t="shared" si="18"/>
        <v>0</v>
      </c>
      <c r="F50" s="33">
        <f t="shared" si="18"/>
        <v>0</v>
      </c>
      <c r="G50" s="33">
        <f t="shared" si="18"/>
        <v>0</v>
      </c>
      <c r="H50" s="33">
        <f t="shared" si="18"/>
        <v>0</v>
      </c>
      <c r="I50" s="33">
        <f t="shared" si="18"/>
        <v>12676327.380000001</v>
      </c>
      <c r="J50" s="33">
        <f t="shared" si="18"/>
        <v>26293983.420000002</v>
      </c>
    </row>
    <row r="51" spans="1:10" ht="14.45" customHeight="1" x14ac:dyDescent="0.25">
      <c r="A51" s="34" t="s">
        <v>211</v>
      </c>
      <c r="B51" s="35" t="s">
        <v>212</v>
      </c>
      <c r="C51" s="35" t="s">
        <v>0</v>
      </c>
      <c r="D51" s="37">
        <f t="shared" si="18"/>
        <v>0</v>
      </c>
      <c r="E51" s="37">
        <f t="shared" si="18"/>
        <v>0</v>
      </c>
      <c r="F51" s="37">
        <f t="shared" si="18"/>
        <v>0</v>
      </c>
      <c r="G51" s="37">
        <f t="shared" si="18"/>
        <v>0</v>
      </c>
      <c r="H51" s="37">
        <f t="shared" si="18"/>
        <v>0</v>
      </c>
      <c r="I51" s="85">
        <f>I52</f>
        <v>12676327.380000001</v>
      </c>
      <c r="J51" s="85">
        <f>J52</f>
        <v>26293983.420000002</v>
      </c>
    </row>
    <row r="52" spans="1:10" ht="14.45" customHeight="1" x14ac:dyDescent="0.25">
      <c r="A52" s="96" t="s">
        <v>172</v>
      </c>
      <c r="B52" s="49" t="s">
        <v>212</v>
      </c>
      <c r="C52" s="97" t="s">
        <v>173</v>
      </c>
      <c r="D52" s="106">
        <v>0</v>
      </c>
      <c r="E52" s="106">
        <v>0</v>
      </c>
      <c r="F52" s="99">
        <f>D52+E52</f>
        <v>0</v>
      </c>
      <c r="G52" s="106">
        <v>0</v>
      </c>
      <c r="H52" s="99">
        <f>F52+G52</f>
        <v>0</v>
      </c>
      <c r="I52" s="115">
        <v>12676327.380000001</v>
      </c>
      <c r="J52" s="115">
        <v>26293983.420000002</v>
      </c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67"/>
  <sheetViews>
    <sheetView zoomScale="90" zoomScaleNormal="90" workbookViewId="0">
      <pane xSplit="7" ySplit="5" topLeftCell="H166" activePane="bottomRight" state="frozen"/>
      <selection pane="topRight" activeCell="H1" sqref="H1"/>
      <selection pane="bottomLeft" activeCell="A6" sqref="A6"/>
      <selection pane="bottomRight" activeCell="H177" sqref="H177"/>
    </sheetView>
  </sheetViews>
  <sheetFormatPr defaultRowHeight="15" outlineLevelRow="1" outlineLevelCol="1" x14ac:dyDescent="0.25"/>
  <cols>
    <col min="1" max="1" width="75.7109375" style="93" customWidth="1"/>
    <col min="2" max="3" width="7.85546875" style="93" customWidth="1"/>
    <col min="4" max="4" width="14.7109375" style="94" customWidth="1"/>
    <col min="5" max="5" width="8" style="93" customWidth="1"/>
    <col min="6" max="6" width="18.140625" style="93" hidden="1" customWidth="1" outlineLevel="1"/>
    <col min="7" max="7" width="16.5703125" style="93" hidden="1" customWidth="1" outlineLevel="1"/>
    <col min="8" max="8" width="18.140625" style="93" customWidth="1" collapsed="1"/>
    <col min="9" max="9" width="16.5703125" style="93" customWidth="1"/>
    <col min="10" max="10" width="18.140625" style="93" customWidth="1"/>
    <col min="11" max="11" width="17.140625" style="93" customWidth="1"/>
    <col min="12" max="12" width="16.5703125" style="93" customWidth="1"/>
    <col min="13" max="13" width="18.140625" style="93" customWidth="1"/>
    <col min="14" max="14" width="17.140625" style="93" customWidth="1"/>
    <col min="15" max="15" width="16.5703125" style="93" customWidth="1"/>
    <col min="16" max="16" width="18.140625" style="93" customWidth="1"/>
    <col min="17" max="17" width="15.85546875" style="93" customWidth="1"/>
    <col min="18" max="18" width="16.5703125" style="93" customWidth="1"/>
    <col min="19" max="19" width="9.140625" style="93"/>
    <col min="20" max="20" width="15" style="93" bestFit="1" customWidth="1"/>
    <col min="21" max="21" width="5" style="93" bestFit="1" customWidth="1"/>
    <col min="22" max="16384" width="9.140625" style="93"/>
  </cols>
  <sheetData>
    <row r="1" spans="1:18" x14ac:dyDescent="0.25">
      <c r="A1" s="93" t="s">
        <v>0</v>
      </c>
      <c r="I1" s="12"/>
      <c r="J1" s="12"/>
      <c r="L1" s="12"/>
      <c r="M1" s="12"/>
      <c r="O1" s="12"/>
      <c r="P1" s="12"/>
    </row>
    <row r="2" spans="1:18" ht="42.2" customHeight="1" x14ac:dyDescent="0.25">
      <c r="A2" s="228" t="s">
        <v>436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spans="1:18" ht="48" customHeight="1" x14ac:dyDescent="0.25">
      <c r="A3" s="229" t="s">
        <v>135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</row>
    <row r="4" spans="1:18" ht="18" customHeight="1" x14ac:dyDescent="0.25">
      <c r="A4" s="228" t="s">
        <v>104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</row>
    <row r="5" spans="1:18" ht="24.75" customHeight="1" x14ac:dyDescent="0.25">
      <c r="A5" s="14" t="s">
        <v>2</v>
      </c>
      <c r="B5" s="14" t="s">
        <v>136</v>
      </c>
      <c r="C5" s="14" t="s">
        <v>137</v>
      </c>
      <c r="D5" s="15" t="s">
        <v>138</v>
      </c>
      <c r="E5" s="14" t="s">
        <v>139</v>
      </c>
      <c r="F5" s="15">
        <v>2023</v>
      </c>
      <c r="G5" s="16" t="s">
        <v>107</v>
      </c>
      <c r="H5" s="15">
        <v>2023</v>
      </c>
      <c r="I5" s="16" t="s">
        <v>107</v>
      </c>
      <c r="J5" s="17" t="s">
        <v>109</v>
      </c>
      <c r="K5" s="15">
        <v>2024</v>
      </c>
      <c r="L5" s="16" t="s">
        <v>107</v>
      </c>
      <c r="M5" s="17" t="s">
        <v>129</v>
      </c>
      <c r="N5" s="15">
        <v>2025</v>
      </c>
      <c r="O5" s="17" t="s">
        <v>107</v>
      </c>
      <c r="P5" s="18" t="s">
        <v>130</v>
      </c>
    </row>
    <row r="6" spans="1:18" ht="19.5" customHeight="1" x14ac:dyDescent="0.25">
      <c r="A6" s="19" t="s">
        <v>140</v>
      </c>
      <c r="B6" s="20" t="s">
        <v>0</v>
      </c>
      <c r="C6" s="20" t="s">
        <v>0</v>
      </c>
      <c r="D6" s="21" t="s">
        <v>0</v>
      </c>
      <c r="E6" s="20" t="s">
        <v>0</v>
      </c>
      <c r="F6" s="13">
        <f t="shared" ref="F6:P6" si="0">F7+F79+F98+F131+F195+F201+F207+F240+F246+F252</f>
        <v>629072631.4231689</v>
      </c>
      <c r="G6" s="13">
        <f t="shared" si="0"/>
        <v>553365843.45999992</v>
      </c>
      <c r="H6" s="13">
        <f t="shared" si="0"/>
        <v>1182438474.8831687</v>
      </c>
      <c r="I6" s="13">
        <f t="shared" si="0"/>
        <v>33597289.949999996</v>
      </c>
      <c r="J6" s="13">
        <f t="shared" si="0"/>
        <v>1216035764.8331687</v>
      </c>
      <c r="K6" s="13">
        <f t="shared" si="0"/>
        <v>520389422.42517859</v>
      </c>
      <c r="L6" s="13">
        <f t="shared" si="0"/>
        <v>2000000</v>
      </c>
      <c r="M6" s="13">
        <f t="shared" si="0"/>
        <v>522389422.42517859</v>
      </c>
      <c r="N6" s="13">
        <f t="shared" si="0"/>
        <v>552173651.72740912</v>
      </c>
      <c r="O6" s="13">
        <f t="shared" si="0"/>
        <v>2000000</v>
      </c>
      <c r="P6" s="13">
        <f t="shared" si="0"/>
        <v>554173651.72740912</v>
      </c>
    </row>
    <row r="7" spans="1:18" ht="17.25" customHeight="1" x14ac:dyDescent="0.25">
      <c r="A7" s="22" t="s">
        <v>141</v>
      </c>
      <c r="B7" s="23" t="s">
        <v>142</v>
      </c>
      <c r="C7" s="23" t="s">
        <v>0</v>
      </c>
      <c r="D7" s="24" t="s">
        <v>0</v>
      </c>
      <c r="E7" s="23" t="s">
        <v>0</v>
      </c>
      <c r="F7" s="25">
        <f t="shared" ref="F7:P7" si="1">F8+F14+F23+F36+F43+F50</f>
        <v>204705058.86000004</v>
      </c>
      <c r="G7" s="25">
        <f t="shared" si="1"/>
        <v>4397944.84</v>
      </c>
      <c r="H7" s="25">
        <f t="shared" si="1"/>
        <v>209103003.70000002</v>
      </c>
      <c r="I7" s="25">
        <f t="shared" si="1"/>
        <v>55258945.589999996</v>
      </c>
      <c r="J7" s="25">
        <f t="shared" si="1"/>
        <v>264361949.29000002</v>
      </c>
      <c r="K7" s="25">
        <f t="shared" si="1"/>
        <v>215279534.54000002</v>
      </c>
      <c r="L7" s="25">
        <f t="shared" si="1"/>
        <v>0</v>
      </c>
      <c r="M7" s="25">
        <f t="shared" si="1"/>
        <v>215279534.54000002</v>
      </c>
      <c r="N7" s="25">
        <f t="shared" si="1"/>
        <v>236203851.39000005</v>
      </c>
      <c r="O7" s="25">
        <f t="shared" si="1"/>
        <v>0</v>
      </c>
      <c r="P7" s="25">
        <f t="shared" si="1"/>
        <v>236203851.39000005</v>
      </c>
    </row>
    <row r="8" spans="1:18" ht="25.5" x14ac:dyDescent="0.25">
      <c r="A8" s="26" t="s">
        <v>143</v>
      </c>
      <c r="B8" s="27" t="s">
        <v>142</v>
      </c>
      <c r="C8" s="27" t="s">
        <v>144</v>
      </c>
      <c r="D8" s="28" t="s">
        <v>0</v>
      </c>
      <c r="E8" s="27" t="s">
        <v>0</v>
      </c>
      <c r="F8" s="29">
        <f t="shared" ref="F8:P10" si="2">F9</f>
        <v>8498112.1999999993</v>
      </c>
      <c r="G8" s="29">
        <f t="shared" si="2"/>
        <v>0</v>
      </c>
      <c r="H8" s="29">
        <f t="shared" si="2"/>
        <v>8498112.1999999993</v>
      </c>
      <c r="I8" s="29">
        <f t="shared" si="2"/>
        <v>500616</v>
      </c>
      <c r="J8" s="29">
        <f t="shared" si="2"/>
        <v>8998728.1999999993</v>
      </c>
      <c r="K8" s="29">
        <f t="shared" si="2"/>
        <v>8843913.1300000008</v>
      </c>
      <c r="L8" s="29">
        <f t="shared" si="2"/>
        <v>0</v>
      </c>
      <c r="M8" s="29">
        <f t="shared" si="2"/>
        <v>8843913.1300000008</v>
      </c>
      <c r="N8" s="29">
        <f t="shared" si="2"/>
        <v>9173279.3300000001</v>
      </c>
      <c r="O8" s="29">
        <f t="shared" si="2"/>
        <v>0</v>
      </c>
      <c r="P8" s="29">
        <f t="shared" si="2"/>
        <v>9173279.3300000001</v>
      </c>
      <c r="Q8" s="95"/>
      <c r="R8" s="95"/>
    </row>
    <row r="9" spans="1:18" ht="16.5" customHeight="1" x14ac:dyDescent="0.25">
      <c r="A9" s="30" t="s">
        <v>145</v>
      </c>
      <c r="B9" s="31" t="s">
        <v>142</v>
      </c>
      <c r="C9" s="31" t="s">
        <v>144</v>
      </c>
      <c r="D9" s="32" t="s">
        <v>146</v>
      </c>
      <c r="E9" s="31" t="s">
        <v>0</v>
      </c>
      <c r="F9" s="33">
        <f t="shared" si="2"/>
        <v>8498112.1999999993</v>
      </c>
      <c r="G9" s="33">
        <f t="shared" si="2"/>
        <v>0</v>
      </c>
      <c r="H9" s="33">
        <f t="shared" si="2"/>
        <v>8498112.1999999993</v>
      </c>
      <c r="I9" s="33">
        <f t="shared" si="2"/>
        <v>500616</v>
      </c>
      <c r="J9" s="33">
        <f t="shared" si="2"/>
        <v>8998728.1999999993</v>
      </c>
      <c r="K9" s="33">
        <f t="shared" si="2"/>
        <v>8843913.1300000008</v>
      </c>
      <c r="L9" s="33">
        <f t="shared" si="2"/>
        <v>0</v>
      </c>
      <c r="M9" s="33">
        <f t="shared" si="2"/>
        <v>8843913.1300000008</v>
      </c>
      <c r="N9" s="33">
        <f t="shared" si="2"/>
        <v>9173279.3300000001</v>
      </c>
      <c r="O9" s="33">
        <f t="shared" si="2"/>
        <v>0</v>
      </c>
      <c r="P9" s="33">
        <f t="shared" si="2"/>
        <v>9173279.3300000001</v>
      </c>
    </row>
    <row r="10" spans="1:18" ht="25.5" x14ac:dyDescent="0.25">
      <c r="A10" s="30" t="s">
        <v>147</v>
      </c>
      <c r="B10" s="31" t="s">
        <v>142</v>
      </c>
      <c r="C10" s="31" t="s">
        <v>144</v>
      </c>
      <c r="D10" s="32" t="s">
        <v>148</v>
      </c>
      <c r="E10" s="31" t="s">
        <v>0</v>
      </c>
      <c r="F10" s="33">
        <f t="shared" si="2"/>
        <v>8498112.1999999993</v>
      </c>
      <c r="G10" s="33">
        <f t="shared" si="2"/>
        <v>0</v>
      </c>
      <c r="H10" s="33">
        <f t="shared" si="2"/>
        <v>8498112.1999999993</v>
      </c>
      <c r="I10" s="33">
        <f t="shared" si="2"/>
        <v>500616</v>
      </c>
      <c r="J10" s="33">
        <f t="shared" si="2"/>
        <v>8998728.1999999993</v>
      </c>
      <c r="K10" s="33">
        <f t="shared" si="2"/>
        <v>8843913.1300000008</v>
      </c>
      <c r="L10" s="33">
        <f t="shared" si="2"/>
        <v>0</v>
      </c>
      <c r="M10" s="33">
        <f t="shared" si="2"/>
        <v>8843913.1300000008</v>
      </c>
      <c r="N10" s="33">
        <f t="shared" si="2"/>
        <v>9173279.3300000001</v>
      </c>
      <c r="O10" s="33">
        <f t="shared" si="2"/>
        <v>0</v>
      </c>
      <c r="P10" s="33">
        <f t="shared" si="2"/>
        <v>9173279.3300000001</v>
      </c>
    </row>
    <row r="11" spans="1:18" ht="16.5" customHeight="1" x14ac:dyDescent="0.25">
      <c r="A11" s="34" t="s">
        <v>149</v>
      </c>
      <c r="B11" s="35" t="s">
        <v>142</v>
      </c>
      <c r="C11" s="35" t="s">
        <v>144</v>
      </c>
      <c r="D11" s="36" t="s">
        <v>150</v>
      </c>
      <c r="E11" s="35" t="s">
        <v>0</v>
      </c>
      <c r="F11" s="37">
        <f>F12+F13</f>
        <v>8498112.1999999993</v>
      </c>
      <c r="G11" s="37">
        <f>G12+G13</f>
        <v>0</v>
      </c>
      <c r="H11" s="37">
        <f>H12+H13</f>
        <v>8498112.1999999993</v>
      </c>
      <c r="I11" s="37">
        <f>I12+I13</f>
        <v>500616</v>
      </c>
      <c r="J11" s="37">
        <f>J12+J13</f>
        <v>8998728.1999999993</v>
      </c>
      <c r="K11" s="37">
        <f t="shared" ref="K11:N11" si="3">K12+K13</f>
        <v>8843913.1300000008</v>
      </c>
      <c r="L11" s="37">
        <f>L12+L13</f>
        <v>0</v>
      </c>
      <c r="M11" s="37">
        <f>M12+M13</f>
        <v>8843913.1300000008</v>
      </c>
      <c r="N11" s="37">
        <f t="shared" si="3"/>
        <v>9173279.3300000001</v>
      </c>
      <c r="O11" s="37">
        <f>O12+O13</f>
        <v>0</v>
      </c>
      <c r="P11" s="37">
        <f>P12+P13</f>
        <v>9173279.3300000001</v>
      </c>
    </row>
    <row r="12" spans="1:18" ht="17.25" customHeight="1" x14ac:dyDescent="0.25">
      <c r="A12" s="96" t="s">
        <v>151</v>
      </c>
      <c r="B12" s="97" t="s">
        <v>142</v>
      </c>
      <c r="C12" s="97" t="s">
        <v>144</v>
      </c>
      <c r="D12" s="98" t="s">
        <v>150</v>
      </c>
      <c r="E12" s="97" t="s">
        <v>152</v>
      </c>
      <c r="F12" s="38">
        <v>8438112.1999999993</v>
      </c>
      <c r="G12" s="38">
        <v>0</v>
      </c>
      <c r="H12" s="38">
        <f>F12+G12</f>
        <v>8438112.1999999993</v>
      </c>
      <c r="I12" s="38">
        <f>14232+336384</f>
        <v>350616</v>
      </c>
      <c r="J12" s="38">
        <f>H12+I12</f>
        <v>8788728.1999999993</v>
      </c>
      <c r="K12" s="38">
        <v>8783913.1300000008</v>
      </c>
      <c r="L12" s="38">
        <v>0</v>
      </c>
      <c r="M12" s="38">
        <f>K12+L12</f>
        <v>8783913.1300000008</v>
      </c>
      <c r="N12" s="39">
        <v>9113279.3300000001</v>
      </c>
      <c r="O12" s="38">
        <v>0</v>
      </c>
      <c r="P12" s="38">
        <f>N12+O12</f>
        <v>9113279.3300000001</v>
      </c>
    </row>
    <row r="13" spans="1:18" ht="17.25" customHeight="1" x14ac:dyDescent="0.25">
      <c r="A13" s="96" t="s">
        <v>153</v>
      </c>
      <c r="B13" s="97" t="s">
        <v>142</v>
      </c>
      <c r="C13" s="97" t="s">
        <v>144</v>
      </c>
      <c r="D13" s="98" t="s">
        <v>150</v>
      </c>
      <c r="E13" s="97">
        <v>200</v>
      </c>
      <c r="F13" s="40">
        <v>60000</v>
      </c>
      <c r="G13" s="40">
        <v>0</v>
      </c>
      <c r="H13" s="38">
        <f>F13+G13</f>
        <v>60000</v>
      </c>
      <c r="I13" s="40">
        <v>150000</v>
      </c>
      <c r="J13" s="38">
        <f>H13+I13</f>
        <v>210000</v>
      </c>
      <c r="K13" s="40">
        <v>60000</v>
      </c>
      <c r="L13" s="40">
        <v>0</v>
      </c>
      <c r="M13" s="38">
        <f>K13+L13</f>
        <v>60000</v>
      </c>
      <c r="N13" s="41">
        <v>60000</v>
      </c>
      <c r="O13" s="40">
        <v>0</v>
      </c>
      <c r="P13" s="38">
        <f>N13+O13</f>
        <v>60000</v>
      </c>
    </row>
    <row r="14" spans="1:18" ht="25.5" x14ac:dyDescent="0.25">
      <c r="A14" s="30" t="s">
        <v>154</v>
      </c>
      <c r="B14" s="31" t="s">
        <v>142</v>
      </c>
      <c r="C14" s="31" t="s">
        <v>155</v>
      </c>
      <c r="D14" s="32" t="s">
        <v>0</v>
      </c>
      <c r="E14" s="31" t="s">
        <v>0</v>
      </c>
      <c r="F14" s="33">
        <f t="shared" ref="F14:P15" si="4">F15</f>
        <v>5768666.1600000001</v>
      </c>
      <c r="G14" s="33">
        <f t="shared" si="4"/>
        <v>0</v>
      </c>
      <c r="H14" s="33">
        <f t="shared" si="4"/>
        <v>5768666.1600000001</v>
      </c>
      <c r="I14" s="33">
        <f t="shared" si="4"/>
        <v>0</v>
      </c>
      <c r="J14" s="33">
        <f t="shared" si="4"/>
        <v>5768666.1600000001</v>
      </c>
      <c r="K14" s="33">
        <f t="shared" si="4"/>
        <v>5834655.0800000001</v>
      </c>
      <c r="L14" s="33">
        <f t="shared" si="4"/>
        <v>0</v>
      </c>
      <c r="M14" s="33">
        <f t="shared" si="4"/>
        <v>5834655.0800000001</v>
      </c>
      <c r="N14" s="33">
        <f t="shared" si="4"/>
        <v>6066865.0700000003</v>
      </c>
      <c r="O14" s="33">
        <f t="shared" si="4"/>
        <v>0</v>
      </c>
      <c r="P14" s="33">
        <f t="shared" si="4"/>
        <v>6066865.0700000003</v>
      </c>
    </row>
    <row r="15" spans="1:18" x14ac:dyDescent="0.25">
      <c r="A15" s="30" t="s">
        <v>145</v>
      </c>
      <c r="B15" s="31" t="s">
        <v>142</v>
      </c>
      <c r="C15" s="31" t="s">
        <v>155</v>
      </c>
      <c r="D15" s="32" t="s">
        <v>146</v>
      </c>
      <c r="E15" s="31" t="s">
        <v>0</v>
      </c>
      <c r="F15" s="33">
        <f t="shared" si="4"/>
        <v>5768666.1600000001</v>
      </c>
      <c r="G15" s="33">
        <f t="shared" si="4"/>
        <v>0</v>
      </c>
      <c r="H15" s="33">
        <f t="shared" si="4"/>
        <v>5768666.1600000001</v>
      </c>
      <c r="I15" s="33">
        <f t="shared" si="4"/>
        <v>0</v>
      </c>
      <c r="J15" s="33">
        <f t="shared" si="4"/>
        <v>5768666.1600000001</v>
      </c>
      <c r="K15" s="33">
        <f t="shared" si="4"/>
        <v>5834655.0800000001</v>
      </c>
      <c r="L15" s="33">
        <f t="shared" si="4"/>
        <v>0</v>
      </c>
      <c r="M15" s="33">
        <f t="shared" si="4"/>
        <v>5834655.0800000001</v>
      </c>
      <c r="N15" s="33">
        <f t="shared" si="4"/>
        <v>6066865.0700000003</v>
      </c>
      <c r="O15" s="33">
        <f t="shared" si="4"/>
        <v>0</v>
      </c>
      <c r="P15" s="33">
        <f t="shared" si="4"/>
        <v>6066865.0700000003</v>
      </c>
    </row>
    <row r="16" spans="1:18" ht="25.5" x14ac:dyDescent="0.25">
      <c r="A16" s="30" t="s">
        <v>147</v>
      </c>
      <c r="B16" s="31" t="s">
        <v>142</v>
      </c>
      <c r="C16" s="31" t="s">
        <v>155</v>
      </c>
      <c r="D16" s="32" t="s">
        <v>148</v>
      </c>
      <c r="E16" s="31" t="s">
        <v>0</v>
      </c>
      <c r="F16" s="33">
        <f t="shared" ref="F16:P16" si="5">F17+F20</f>
        <v>5768666.1600000001</v>
      </c>
      <c r="G16" s="33">
        <f t="shared" si="5"/>
        <v>0</v>
      </c>
      <c r="H16" s="33">
        <f t="shared" si="5"/>
        <v>5768666.1600000001</v>
      </c>
      <c r="I16" s="33">
        <f t="shared" si="5"/>
        <v>0</v>
      </c>
      <c r="J16" s="33">
        <f t="shared" si="5"/>
        <v>5768666.1600000001</v>
      </c>
      <c r="K16" s="33">
        <f t="shared" si="5"/>
        <v>5834655.0800000001</v>
      </c>
      <c r="L16" s="33">
        <f t="shared" si="5"/>
        <v>0</v>
      </c>
      <c r="M16" s="33">
        <f t="shared" si="5"/>
        <v>5834655.0800000001</v>
      </c>
      <c r="N16" s="33">
        <f t="shared" si="5"/>
        <v>6066865.0700000003</v>
      </c>
      <c r="O16" s="33">
        <f t="shared" si="5"/>
        <v>0</v>
      </c>
      <c r="P16" s="33">
        <f t="shared" si="5"/>
        <v>6066865.0700000003</v>
      </c>
    </row>
    <row r="17" spans="1:16" x14ac:dyDescent="0.25">
      <c r="A17" s="34" t="s">
        <v>156</v>
      </c>
      <c r="B17" s="35" t="s">
        <v>142</v>
      </c>
      <c r="C17" s="35" t="s">
        <v>155</v>
      </c>
      <c r="D17" s="36" t="s">
        <v>157</v>
      </c>
      <c r="E17" s="35" t="s">
        <v>0</v>
      </c>
      <c r="F17" s="37">
        <f t="shared" ref="F17:P17" si="6">F18+F19</f>
        <v>5178370.17</v>
      </c>
      <c r="G17" s="37">
        <f t="shared" si="6"/>
        <v>0</v>
      </c>
      <c r="H17" s="37">
        <f t="shared" si="6"/>
        <v>5178370.17</v>
      </c>
      <c r="I17" s="37">
        <f t="shared" si="6"/>
        <v>0</v>
      </c>
      <c r="J17" s="37">
        <f t="shared" si="6"/>
        <v>5178370.17</v>
      </c>
      <c r="K17" s="37">
        <f t="shared" si="6"/>
        <v>5222744.3099999996</v>
      </c>
      <c r="L17" s="37">
        <f t="shared" si="6"/>
        <v>0</v>
      </c>
      <c r="M17" s="37">
        <f t="shared" si="6"/>
        <v>5222744.3099999996</v>
      </c>
      <c r="N17" s="37">
        <f t="shared" si="6"/>
        <v>5430495.4800000004</v>
      </c>
      <c r="O17" s="37">
        <f t="shared" si="6"/>
        <v>0</v>
      </c>
      <c r="P17" s="37">
        <f t="shared" si="6"/>
        <v>5430495.4800000004</v>
      </c>
    </row>
    <row r="18" spans="1:16" x14ac:dyDescent="0.25">
      <c r="A18" s="96" t="s">
        <v>151</v>
      </c>
      <c r="B18" s="97" t="s">
        <v>142</v>
      </c>
      <c r="C18" s="97" t="s">
        <v>155</v>
      </c>
      <c r="D18" s="98" t="s">
        <v>157</v>
      </c>
      <c r="E18" s="97" t="s">
        <v>152</v>
      </c>
      <c r="F18" s="99">
        <v>4894922</v>
      </c>
      <c r="G18" s="99">
        <v>0</v>
      </c>
      <c r="H18" s="38">
        <f>F18+G18</f>
        <v>4894922</v>
      </c>
      <c r="I18" s="99">
        <v>0</v>
      </c>
      <c r="J18" s="38">
        <f>H18+I18</f>
        <v>4894922</v>
      </c>
      <c r="K18" s="99">
        <v>5095320.92</v>
      </c>
      <c r="L18" s="99">
        <v>0</v>
      </c>
      <c r="M18" s="38">
        <f>K18+L18</f>
        <v>5095320.92</v>
      </c>
      <c r="N18" s="99">
        <v>5299127.16</v>
      </c>
      <c r="O18" s="99">
        <v>0</v>
      </c>
      <c r="P18" s="38">
        <f>N18+O18</f>
        <v>5299127.16</v>
      </c>
    </row>
    <row r="19" spans="1:16" ht="30" x14ac:dyDescent="0.25">
      <c r="A19" s="96" t="s">
        <v>153</v>
      </c>
      <c r="B19" s="97" t="s">
        <v>142</v>
      </c>
      <c r="C19" s="97" t="s">
        <v>155</v>
      </c>
      <c r="D19" s="98" t="s">
        <v>157</v>
      </c>
      <c r="E19" s="97" t="s">
        <v>158</v>
      </c>
      <c r="F19" s="99">
        <v>283448.17</v>
      </c>
      <c r="G19" s="99">
        <v>0</v>
      </c>
      <c r="H19" s="38">
        <f>F19+G19</f>
        <v>283448.17</v>
      </c>
      <c r="I19" s="99">
        <v>0</v>
      </c>
      <c r="J19" s="38">
        <f>H19+I19</f>
        <v>283448.17</v>
      </c>
      <c r="K19" s="99">
        <v>127423.39</v>
      </c>
      <c r="L19" s="99">
        <v>0</v>
      </c>
      <c r="M19" s="38">
        <f>K19+L19</f>
        <v>127423.39</v>
      </c>
      <c r="N19" s="99">
        <v>131368.32000000001</v>
      </c>
      <c r="O19" s="99">
        <v>0</v>
      </c>
      <c r="P19" s="38">
        <f>N19+O19</f>
        <v>131368.32000000001</v>
      </c>
    </row>
    <row r="20" spans="1:16" x14ac:dyDescent="0.25">
      <c r="A20" s="34" t="s">
        <v>159</v>
      </c>
      <c r="B20" s="35" t="s">
        <v>142</v>
      </c>
      <c r="C20" s="35" t="s">
        <v>155</v>
      </c>
      <c r="D20" s="36" t="s">
        <v>160</v>
      </c>
      <c r="E20" s="35" t="s">
        <v>0</v>
      </c>
      <c r="F20" s="37">
        <f t="shared" ref="F20:P20" si="7">F21+F22</f>
        <v>590295.99</v>
      </c>
      <c r="G20" s="37">
        <f t="shared" si="7"/>
        <v>0</v>
      </c>
      <c r="H20" s="37">
        <f t="shared" si="7"/>
        <v>590295.99</v>
      </c>
      <c r="I20" s="37">
        <f t="shared" si="7"/>
        <v>0</v>
      </c>
      <c r="J20" s="37">
        <f t="shared" si="7"/>
        <v>590295.99</v>
      </c>
      <c r="K20" s="37">
        <f t="shared" si="7"/>
        <v>611910.77</v>
      </c>
      <c r="L20" s="37">
        <f t="shared" si="7"/>
        <v>0</v>
      </c>
      <c r="M20" s="37">
        <f t="shared" si="7"/>
        <v>611910.77</v>
      </c>
      <c r="N20" s="37">
        <f t="shared" si="7"/>
        <v>636369.59000000008</v>
      </c>
      <c r="O20" s="37">
        <f t="shared" si="7"/>
        <v>0</v>
      </c>
      <c r="P20" s="37">
        <f t="shared" si="7"/>
        <v>636369.59000000008</v>
      </c>
    </row>
    <row r="21" spans="1:16" x14ac:dyDescent="0.25">
      <c r="A21" s="96" t="s">
        <v>151</v>
      </c>
      <c r="B21" s="97" t="s">
        <v>142</v>
      </c>
      <c r="C21" s="97" t="s">
        <v>155</v>
      </c>
      <c r="D21" s="98" t="s">
        <v>160</v>
      </c>
      <c r="E21" s="97" t="s">
        <v>152</v>
      </c>
      <c r="F21" s="99">
        <v>450012</v>
      </c>
      <c r="G21" s="99">
        <v>0</v>
      </c>
      <c r="H21" s="38">
        <f>F21+G21</f>
        <v>450012</v>
      </c>
      <c r="I21" s="99">
        <v>0</v>
      </c>
      <c r="J21" s="38">
        <f>H21+I21</f>
        <v>450012</v>
      </c>
      <c r="K21" s="99">
        <v>465734.85</v>
      </c>
      <c r="L21" s="99">
        <v>0</v>
      </c>
      <c r="M21" s="38">
        <f>K21+L21</f>
        <v>465734.85</v>
      </c>
      <c r="N21" s="99">
        <v>484346.64</v>
      </c>
      <c r="O21" s="99">
        <v>0</v>
      </c>
      <c r="P21" s="38">
        <f>N21+O21</f>
        <v>484346.64</v>
      </c>
    </row>
    <row r="22" spans="1:16" ht="30" x14ac:dyDescent="0.25">
      <c r="A22" s="96" t="s">
        <v>153</v>
      </c>
      <c r="B22" s="97" t="s">
        <v>142</v>
      </c>
      <c r="C22" s="97" t="s">
        <v>155</v>
      </c>
      <c r="D22" s="98" t="s">
        <v>160</v>
      </c>
      <c r="E22" s="97" t="s">
        <v>158</v>
      </c>
      <c r="F22" s="99">
        <v>140283.99</v>
      </c>
      <c r="G22" s="99">
        <v>0</v>
      </c>
      <c r="H22" s="38">
        <f>F22+G22</f>
        <v>140283.99</v>
      </c>
      <c r="I22" s="99">
        <v>0</v>
      </c>
      <c r="J22" s="38">
        <f>H22+I22</f>
        <v>140283.99</v>
      </c>
      <c r="K22" s="99">
        <v>146175.92000000001</v>
      </c>
      <c r="L22" s="99">
        <v>0</v>
      </c>
      <c r="M22" s="38">
        <f>K22+L22</f>
        <v>146175.92000000001</v>
      </c>
      <c r="N22" s="99">
        <v>152022.95000000001</v>
      </c>
      <c r="O22" s="99">
        <v>0</v>
      </c>
      <c r="P22" s="38">
        <f>N22+O22</f>
        <v>152022.95000000001</v>
      </c>
    </row>
    <row r="23" spans="1:16" ht="38.25" x14ac:dyDescent="0.25">
      <c r="A23" s="30" t="s">
        <v>161</v>
      </c>
      <c r="B23" s="31" t="s">
        <v>142</v>
      </c>
      <c r="C23" s="31" t="s">
        <v>162</v>
      </c>
      <c r="D23" s="32" t="s">
        <v>0</v>
      </c>
      <c r="E23" s="31" t="s">
        <v>0</v>
      </c>
      <c r="F23" s="33">
        <f>F24+F29</f>
        <v>163197691.54000002</v>
      </c>
      <c r="G23" s="33">
        <f>G24+G29</f>
        <v>239123.97999999998</v>
      </c>
      <c r="H23" s="33">
        <f>H24+H29</f>
        <v>163436815.52000001</v>
      </c>
      <c r="I23" s="33">
        <f>I24+I29</f>
        <v>1328185.78</v>
      </c>
      <c r="J23" s="33">
        <f>J24+J29</f>
        <v>164765001.30000001</v>
      </c>
      <c r="K23" s="33">
        <f t="shared" ref="K23:N23" si="8">K24+K29</f>
        <v>167819599.41000003</v>
      </c>
      <c r="L23" s="33">
        <f>L24+L29</f>
        <v>0</v>
      </c>
      <c r="M23" s="33">
        <f>M24+M29</f>
        <v>167819599.41000003</v>
      </c>
      <c r="N23" s="33">
        <f t="shared" si="8"/>
        <v>173323700.08000001</v>
      </c>
      <c r="O23" s="33">
        <f>O24+O29</f>
        <v>0</v>
      </c>
      <c r="P23" s="33">
        <f>P24+P29</f>
        <v>173323700.08000001</v>
      </c>
    </row>
    <row r="24" spans="1:16" x14ac:dyDescent="0.25">
      <c r="A24" s="30" t="s">
        <v>163</v>
      </c>
      <c r="B24" s="31" t="s">
        <v>142</v>
      </c>
      <c r="C24" s="31" t="s">
        <v>162</v>
      </c>
      <c r="D24" s="32" t="s">
        <v>164</v>
      </c>
      <c r="E24" s="31" t="s">
        <v>0</v>
      </c>
      <c r="F24" s="33">
        <f t="shared" ref="F24:P25" si="9">F25</f>
        <v>925373</v>
      </c>
      <c r="G24" s="33">
        <f t="shared" si="9"/>
        <v>0</v>
      </c>
      <c r="H24" s="33">
        <f t="shared" si="9"/>
        <v>925373</v>
      </c>
      <c r="I24" s="33">
        <f t="shared" si="9"/>
        <v>0</v>
      </c>
      <c r="J24" s="33">
        <f t="shared" si="9"/>
        <v>925373</v>
      </c>
      <c r="K24" s="33">
        <f t="shared" si="9"/>
        <v>925373</v>
      </c>
      <c r="L24" s="33">
        <f t="shared" si="9"/>
        <v>0</v>
      </c>
      <c r="M24" s="33">
        <f t="shared" si="9"/>
        <v>925373</v>
      </c>
      <c r="N24" s="33">
        <f t="shared" si="9"/>
        <v>925373</v>
      </c>
      <c r="O24" s="33">
        <f t="shared" si="9"/>
        <v>0</v>
      </c>
      <c r="P24" s="33">
        <f t="shared" si="9"/>
        <v>925373</v>
      </c>
    </row>
    <row r="25" spans="1:16" x14ac:dyDescent="0.25">
      <c r="A25" s="30" t="s">
        <v>165</v>
      </c>
      <c r="B25" s="31" t="s">
        <v>142</v>
      </c>
      <c r="C25" s="31" t="s">
        <v>162</v>
      </c>
      <c r="D25" s="32" t="s">
        <v>166</v>
      </c>
      <c r="E25" s="31" t="s">
        <v>0</v>
      </c>
      <c r="F25" s="33">
        <f t="shared" si="9"/>
        <v>925373</v>
      </c>
      <c r="G25" s="33">
        <f t="shared" si="9"/>
        <v>0</v>
      </c>
      <c r="H25" s="33">
        <f t="shared" si="9"/>
        <v>925373</v>
      </c>
      <c r="I25" s="33">
        <f t="shared" si="9"/>
        <v>0</v>
      </c>
      <c r="J25" s="33">
        <f t="shared" si="9"/>
        <v>925373</v>
      </c>
      <c r="K25" s="33">
        <f t="shared" si="9"/>
        <v>925373</v>
      </c>
      <c r="L25" s="33">
        <f t="shared" si="9"/>
        <v>0</v>
      </c>
      <c r="M25" s="33">
        <f t="shared" si="9"/>
        <v>925373</v>
      </c>
      <c r="N25" s="33">
        <f t="shared" si="9"/>
        <v>925373</v>
      </c>
      <c r="O25" s="33">
        <f t="shared" si="9"/>
        <v>0</v>
      </c>
      <c r="P25" s="33">
        <f t="shared" si="9"/>
        <v>925373</v>
      </c>
    </row>
    <row r="26" spans="1:16" x14ac:dyDescent="0.25">
      <c r="A26" s="34" t="s">
        <v>167</v>
      </c>
      <c r="B26" s="35" t="s">
        <v>142</v>
      </c>
      <c r="C26" s="35" t="s">
        <v>162</v>
      </c>
      <c r="D26" s="36" t="s">
        <v>168</v>
      </c>
      <c r="E26" s="35" t="s">
        <v>0</v>
      </c>
      <c r="F26" s="37">
        <f t="shared" ref="F26:P26" si="10">F27+F28</f>
        <v>925373</v>
      </c>
      <c r="G26" s="37">
        <f t="shared" si="10"/>
        <v>0</v>
      </c>
      <c r="H26" s="37">
        <f t="shared" si="10"/>
        <v>925373</v>
      </c>
      <c r="I26" s="37">
        <f t="shared" si="10"/>
        <v>0</v>
      </c>
      <c r="J26" s="37">
        <f t="shared" si="10"/>
        <v>925373</v>
      </c>
      <c r="K26" s="37">
        <f t="shared" si="10"/>
        <v>925373</v>
      </c>
      <c r="L26" s="37">
        <f t="shared" si="10"/>
        <v>0</v>
      </c>
      <c r="M26" s="37">
        <f t="shared" si="10"/>
        <v>925373</v>
      </c>
      <c r="N26" s="37">
        <f t="shared" si="10"/>
        <v>925373</v>
      </c>
      <c r="O26" s="37">
        <f t="shared" si="10"/>
        <v>0</v>
      </c>
      <c r="P26" s="37">
        <f t="shared" si="10"/>
        <v>925373</v>
      </c>
    </row>
    <row r="27" spans="1:16" x14ac:dyDescent="0.25">
      <c r="A27" s="96" t="s">
        <v>151</v>
      </c>
      <c r="B27" s="97" t="s">
        <v>142</v>
      </c>
      <c r="C27" s="97" t="s">
        <v>162</v>
      </c>
      <c r="D27" s="98" t="s">
        <v>168</v>
      </c>
      <c r="E27" s="97" t="s">
        <v>152</v>
      </c>
      <c r="F27" s="99">
        <v>299531</v>
      </c>
      <c r="G27" s="99">
        <v>0</v>
      </c>
      <c r="H27" s="38">
        <f>F27+G27</f>
        <v>299531</v>
      </c>
      <c r="I27" s="99">
        <v>0</v>
      </c>
      <c r="J27" s="38">
        <f>H27+I27</f>
        <v>299531</v>
      </c>
      <c r="K27" s="99">
        <v>299531</v>
      </c>
      <c r="L27" s="99">
        <v>0</v>
      </c>
      <c r="M27" s="38">
        <f>K27+L27</f>
        <v>299531</v>
      </c>
      <c r="N27" s="99">
        <v>299531</v>
      </c>
      <c r="O27" s="99">
        <v>0</v>
      </c>
      <c r="P27" s="38">
        <f>N27+O27</f>
        <v>299531</v>
      </c>
    </row>
    <row r="28" spans="1:16" ht="30" x14ac:dyDescent="0.25">
      <c r="A28" s="96" t="s">
        <v>153</v>
      </c>
      <c r="B28" s="97" t="s">
        <v>142</v>
      </c>
      <c r="C28" s="97" t="s">
        <v>162</v>
      </c>
      <c r="D28" s="98" t="s">
        <v>168</v>
      </c>
      <c r="E28" s="97" t="s">
        <v>158</v>
      </c>
      <c r="F28" s="99">
        <v>625842</v>
      </c>
      <c r="G28" s="99">
        <v>0</v>
      </c>
      <c r="H28" s="38">
        <f>F28+G28</f>
        <v>625842</v>
      </c>
      <c r="I28" s="99">
        <v>0</v>
      </c>
      <c r="J28" s="38">
        <f>H28+I28</f>
        <v>625842</v>
      </c>
      <c r="K28" s="99">
        <v>625842</v>
      </c>
      <c r="L28" s="99">
        <v>0</v>
      </c>
      <c r="M28" s="38">
        <f>K28+L28</f>
        <v>625842</v>
      </c>
      <c r="N28" s="99">
        <v>625842</v>
      </c>
      <c r="O28" s="99">
        <v>0</v>
      </c>
      <c r="P28" s="38">
        <f>N28+O28</f>
        <v>625842</v>
      </c>
    </row>
    <row r="29" spans="1:16" x14ac:dyDescent="0.25">
      <c r="A29" s="30" t="s">
        <v>145</v>
      </c>
      <c r="B29" s="31" t="s">
        <v>142</v>
      </c>
      <c r="C29" s="31" t="s">
        <v>162</v>
      </c>
      <c r="D29" s="32" t="s">
        <v>146</v>
      </c>
      <c r="E29" s="31" t="s">
        <v>0</v>
      </c>
      <c r="F29" s="33">
        <f t="shared" ref="F29:P30" si="11">F30</f>
        <v>162272318.54000002</v>
      </c>
      <c r="G29" s="33">
        <f t="shared" si="11"/>
        <v>239123.97999999998</v>
      </c>
      <c r="H29" s="33">
        <f t="shared" si="11"/>
        <v>162511442.52000001</v>
      </c>
      <c r="I29" s="33">
        <f t="shared" si="11"/>
        <v>1328185.78</v>
      </c>
      <c r="J29" s="33">
        <f t="shared" si="11"/>
        <v>163839628.30000001</v>
      </c>
      <c r="K29" s="33">
        <f t="shared" si="11"/>
        <v>166894226.41000003</v>
      </c>
      <c r="L29" s="33">
        <f t="shared" si="11"/>
        <v>0</v>
      </c>
      <c r="M29" s="33">
        <f t="shared" si="11"/>
        <v>166894226.41000003</v>
      </c>
      <c r="N29" s="33">
        <f t="shared" si="11"/>
        <v>172398327.08000001</v>
      </c>
      <c r="O29" s="33">
        <f t="shared" si="11"/>
        <v>0</v>
      </c>
      <c r="P29" s="33">
        <f t="shared" si="11"/>
        <v>172398327.08000001</v>
      </c>
    </row>
    <row r="30" spans="1:16" ht="25.5" x14ac:dyDescent="0.25">
      <c r="A30" s="30" t="s">
        <v>147</v>
      </c>
      <c r="B30" s="31" t="s">
        <v>142</v>
      </c>
      <c r="C30" s="31" t="s">
        <v>162</v>
      </c>
      <c r="D30" s="32" t="s">
        <v>148</v>
      </c>
      <c r="E30" s="31" t="s">
        <v>0</v>
      </c>
      <c r="F30" s="33">
        <f t="shared" si="11"/>
        <v>162272318.54000002</v>
      </c>
      <c r="G30" s="33">
        <f t="shared" si="11"/>
        <v>239123.97999999998</v>
      </c>
      <c r="H30" s="33">
        <f t="shared" si="11"/>
        <v>162511442.52000001</v>
      </c>
      <c r="I30" s="33">
        <f t="shared" si="11"/>
        <v>1328185.78</v>
      </c>
      <c r="J30" s="33">
        <f t="shared" si="11"/>
        <v>163839628.30000001</v>
      </c>
      <c r="K30" s="33">
        <f t="shared" si="11"/>
        <v>166894226.41000003</v>
      </c>
      <c r="L30" s="33">
        <f t="shared" si="11"/>
        <v>0</v>
      </c>
      <c r="M30" s="33">
        <f t="shared" si="11"/>
        <v>166894226.41000003</v>
      </c>
      <c r="N30" s="33">
        <f t="shared" si="11"/>
        <v>172398327.08000001</v>
      </c>
      <c r="O30" s="33">
        <f t="shared" si="11"/>
        <v>0</v>
      </c>
      <c r="P30" s="33">
        <f t="shared" si="11"/>
        <v>172398327.08000001</v>
      </c>
    </row>
    <row r="31" spans="1:16" x14ac:dyDescent="0.25">
      <c r="A31" s="34" t="s">
        <v>156</v>
      </c>
      <c r="B31" s="35" t="s">
        <v>142</v>
      </c>
      <c r="C31" s="35" t="s">
        <v>162</v>
      </c>
      <c r="D31" s="36" t="s">
        <v>157</v>
      </c>
      <c r="E31" s="35" t="s">
        <v>0</v>
      </c>
      <c r="F31" s="37">
        <f t="shared" ref="F31:P31" si="12">F32+F33+F34+F35</f>
        <v>162272318.54000002</v>
      </c>
      <c r="G31" s="37">
        <f t="shared" si="12"/>
        <v>239123.97999999998</v>
      </c>
      <c r="H31" s="37">
        <f t="shared" si="12"/>
        <v>162511442.52000001</v>
      </c>
      <c r="I31" s="37">
        <f t="shared" si="12"/>
        <v>1328185.78</v>
      </c>
      <c r="J31" s="37">
        <f t="shared" si="12"/>
        <v>163839628.30000001</v>
      </c>
      <c r="K31" s="37">
        <f t="shared" si="12"/>
        <v>166894226.41000003</v>
      </c>
      <c r="L31" s="37">
        <f t="shared" si="12"/>
        <v>0</v>
      </c>
      <c r="M31" s="37">
        <f t="shared" si="12"/>
        <v>166894226.41000003</v>
      </c>
      <c r="N31" s="37">
        <f t="shared" si="12"/>
        <v>172398327.08000001</v>
      </c>
      <c r="O31" s="37">
        <f t="shared" si="12"/>
        <v>0</v>
      </c>
      <c r="P31" s="37">
        <f t="shared" si="12"/>
        <v>172398327.08000001</v>
      </c>
    </row>
    <row r="32" spans="1:16" x14ac:dyDescent="0.25">
      <c r="A32" s="96" t="s">
        <v>151</v>
      </c>
      <c r="B32" s="97" t="s">
        <v>142</v>
      </c>
      <c r="C32" s="97" t="s">
        <v>162</v>
      </c>
      <c r="D32" s="98" t="s">
        <v>157</v>
      </c>
      <c r="E32" s="97" t="s">
        <v>152</v>
      </c>
      <c r="F32" s="99">
        <v>139999582.65000001</v>
      </c>
      <c r="G32" s="100">
        <v>0</v>
      </c>
      <c r="H32" s="38">
        <f>F32+G32</f>
        <v>139999582.65000001</v>
      </c>
      <c r="I32" s="100">
        <f>220187.5+66496.62+2517995.77-1326054.49+760434.72</f>
        <v>2239060.12</v>
      </c>
      <c r="J32" s="38">
        <f>H32+I32</f>
        <v>142238642.77000001</v>
      </c>
      <c r="K32" s="99">
        <v>144456317.30000001</v>
      </c>
      <c r="L32" s="100">
        <v>0</v>
      </c>
      <c r="M32" s="38">
        <f>K32+L32</f>
        <v>144456317.30000001</v>
      </c>
      <c r="N32" s="99">
        <v>149582382.71000001</v>
      </c>
      <c r="O32" s="100">
        <v>0</v>
      </c>
      <c r="P32" s="38">
        <f>N32+O32</f>
        <v>149582382.71000001</v>
      </c>
    </row>
    <row r="33" spans="1:16" ht="30" x14ac:dyDescent="0.25">
      <c r="A33" s="96" t="s">
        <v>153</v>
      </c>
      <c r="B33" s="97" t="s">
        <v>142</v>
      </c>
      <c r="C33" s="97" t="s">
        <v>162</v>
      </c>
      <c r="D33" s="98" t="s">
        <v>157</v>
      </c>
      <c r="E33" s="97" t="s">
        <v>158</v>
      </c>
      <c r="F33" s="101">
        <v>21517636.890000001</v>
      </c>
      <c r="G33" s="102">
        <v>239123.97999999998</v>
      </c>
      <c r="H33" s="38">
        <f>F33+G33</f>
        <v>21756760.870000001</v>
      </c>
      <c r="I33" s="102">
        <f>1062916.66-21415-78460-6600-151832-1095659.41-82711.2-82460-154653.39-300000</f>
        <v>-910874.34000000008</v>
      </c>
      <c r="J33" s="38">
        <f>H33+I33</f>
        <v>20845886.530000001</v>
      </c>
      <c r="K33" s="103">
        <v>21771915.109999999</v>
      </c>
      <c r="L33" s="102">
        <v>0</v>
      </c>
      <c r="M33" s="38">
        <f>K33+L33</f>
        <v>21771915.109999999</v>
      </c>
      <c r="N33" s="103">
        <v>22202978.370000001</v>
      </c>
      <c r="O33" s="102">
        <v>0</v>
      </c>
      <c r="P33" s="38">
        <f>N33+O33</f>
        <v>22202978.370000001</v>
      </c>
    </row>
    <row r="34" spans="1:16" hidden="1" outlineLevel="1" x14ac:dyDescent="0.25">
      <c r="A34" s="96" t="s">
        <v>169</v>
      </c>
      <c r="B34" s="97" t="s">
        <v>142</v>
      </c>
      <c r="C34" s="97" t="s">
        <v>162</v>
      </c>
      <c r="D34" s="98" t="s">
        <v>170</v>
      </c>
      <c r="E34" s="97" t="s">
        <v>171</v>
      </c>
      <c r="F34" s="99">
        <v>0</v>
      </c>
      <c r="G34" s="104">
        <v>0</v>
      </c>
      <c r="H34" s="99">
        <v>0</v>
      </c>
      <c r="I34" s="104">
        <v>0</v>
      </c>
      <c r="J34" s="99">
        <v>0</v>
      </c>
      <c r="K34" s="99">
        <v>0</v>
      </c>
      <c r="L34" s="104">
        <v>0</v>
      </c>
      <c r="M34" s="99">
        <v>0</v>
      </c>
      <c r="N34" s="99">
        <v>0</v>
      </c>
      <c r="O34" s="104">
        <v>0</v>
      </c>
      <c r="P34" s="99">
        <v>0</v>
      </c>
    </row>
    <row r="35" spans="1:16" collapsed="1" x14ac:dyDescent="0.25">
      <c r="A35" s="96" t="s">
        <v>172</v>
      </c>
      <c r="B35" s="97" t="s">
        <v>142</v>
      </c>
      <c r="C35" s="97" t="s">
        <v>162</v>
      </c>
      <c r="D35" s="98" t="s">
        <v>157</v>
      </c>
      <c r="E35" s="97" t="s">
        <v>173</v>
      </c>
      <c r="F35" s="99">
        <v>755099</v>
      </c>
      <c r="G35" s="99">
        <v>0</v>
      </c>
      <c r="H35" s="38">
        <f>F35+G35</f>
        <v>755099</v>
      </c>
      <c r="I35" s="99">
        <v>0</v>
      </c>
      <c r="J35" s="38">
        <f>H35+I35</f>
        <v>755099</v>
      </c>
      <c r="K35" s="99">
        <v>665994</v>
      </c>
      <c r="L35" s="99">
        <v>0</v>
      </c>
      <c r="M35" s="38">
        <f>K35+L35</f>
        <v>665994</v>
      </c>
      <c r="N35" s="99">
        <v>612966</v>
      </c>
      <c r="O35" s="99">
        <v>0</v>
      </c>
      <c r="P35" s="38">
        <f>N35+O35</f>
        <v>612966</v>
      </c>
    </row>
    <row r="36" spans="1:16" ht="25.5" x14ac:dyDescent="0.25">
      <c r="A36" s="30" t="s">
        <v>174</v>
      </c>
      <c r="B36" s="31" t="s">
        <v>142</v>
      </c>
      <c r="C36" s="31" t="s">
        <v>175</v>
      </c>
      <c r="D36" s="32" t="s">
        <v>0</v>
      </c>
      <c r="E36" s="31" t="s">
        <v>0</v>
      </c>
      <c r="F36" s="33">
        <f t="shared" ref="F36:P38" si="13">F37</f>
        <v>5638064.9299999997</v>
      </c>
      <c r="G36" s="33">
        <f t="shared" si="13"/>
        <v>0</v>
      </c>
      <c r="H36" s="33">
        <f t="shared" si="13"/>
        <v>5638064.9299999997</v>
      </c>
      <c r="I36" s="33">
        <f t="shared" si="13"/>
        <v>7500</v>
      </c>
      <c r="J36" s="33">
        <f t="shared" si="13"/>
        <v>5645564.9299999997</v>
      </c>
      <c r="K36" s="33">
        <f t="shared" si="13"/>
        <v>5742496.8099999996</v>
      </c>
      <c r="L36" s="33">
        <f t="shared" si="13"/>
        <v>0</v>
      </c>
      <c r="M36" s="33">
        <f t="shared" si="13"/>
        <v>5742496.8099999996</v>
      </c>
      <c r="N36" s="33">
        <f t="shared" si="13"/>
        <v>6101912.5200000005</v>
      </c>
      <c r="O36" s="33">
        <f t="shared" si="13"/>
        <v>0</v>
      </c>
      <c r="P36" s="33">
        <f t="shared" si="13"/>
        <v>6101912.5200000005</v>
      </c>
    </row>
    <row r="37" spans="1:16" x14ac:dyDescent="0.25">
      <c r="A37" s="30" t="s">
        <v>145</v>
      </c>
      <c r="B37" s="31" t="s">
        <v>142</v>
      </c>
      <c r="C37" s="31" t="s">
        <v>175</v>
      </c>
      <c r="D37" s="32" t="s">
        <v>146</v>
      </c>
      <c r="E37" s="31" t="s">
        <v>0</v>
      </c>
      <c r="F37" s="33">
        <f t="shared" si="13"/>
        <v>5638064.9299999997</v>
      </c>
      <c r="G37" s="33">
        <f t="shared" si="13"/>
        <v>0</v>
      </c>
      <c r="H37" s="33">
        <f t="shared" si="13"/>
        <v>5638064.9299999997</v>
      </c>
      <c r="I37" s="33">
        <f t="shared" si="13"/>
        <v>7500</v>
      </c>
      <c r="J37" s="33">
        <f t="shared" si="13"/>
        <v>5645564.9299999997</v>
      </c>
      <c r="K37" s="33">
        <f t="shared" si="13"/>
        <v>5742496.8099999996</v>
      </c>
      <c r="L37" s="33">
        <f t="shared" si="13"/>
        <v>0</v>
      </c>
      <c r="M37" s="33">
        <f t="shared" si="13"/>
        <v>5742496.8099999996</v>
      </c>
      <c r="N37" s="33">
        <f t="shared" si="13"/>
        <v>6101912.5200000005</v>
      </c>
      <c r="O37" s="33">
        <f t="shared" si="13"/>
        <v>0</v>
      </c>
      <c r="P37" s="33">
        <f t="shared" si="13"/>
        <v>6101912.5200000005</v>
      </c>
    </row>
    <row r="38" spans="1:16" ht="25.5" x14ac:dyDescent="0.25">
      <c r="A38" s="30" t="s">
        <v>147</v>
      </c>
      <c r="B38" s="31" t="s">
        <v>142</v>
      </c>
      <c r="C38" s="31" t="s">
        <v>175</v>
      </c>
      <c r="D38" s="32" t="s">
        <v>148</v>
      </c>
      <c r="E38" s="31" t="s">
        <v>0</v>
      </c>
      <c r="F38" s="33">
        <f t="shared" si="13"/>
        <v>5638064.9299999997</v>
      </c>
      <c r="G38" s="33">
        <f t="shared" si="13"/>
        <v>0</v>
      </c>
      <c r="H38" s="33">
        <f t="shared" si="13"/>
        <v>5638064.9299999997</v>
      </c>
      <c r="I38" s="33">
        <f t="shared" si="13"/>
        <v>7500</v>
      </c>
      <c r="J38" s="33">
        <f t="shared" si="13"/>
        <v>5645564.9299999997</v>
      </c>
      <c r="K38" s="33">
        <f t="shared" si="13"/>
        <v>5742496.8099999996</v>
      </c>
      <c r="L38" s="33">
        <f t="shared" si="13"/>
        <v>0</v>
      </c>
      <c r="M38" s="33">
        <f t="shared" si="13"/>
        <v>5742496.8099999996</v>
      </c>
      <c r="N38" s="33">
        <f t="shared" si="13"/>
        <v>6101912.5200000005</v>
      </c>
      <c r="O38" s="33">
        <f t="shared" si="13"/>
        <v>0</v>
      </c>
      <c r="P38" s="33">
        <f t="shared" si="13"/>
        <v>6101912.5200000005</v>
      </c>
    </row>
    <row r="39" spans="1:16" ht="27" x14ac:dyDescent="0.25">
      <c r="A39" s="34" t="s">
        <v>176</v>
      </c>
      <c r="B39" s="35" t="s">
        <v>142</v>
      </c>
      <c r="C39" s="35" t="s">
        <v>175</v>
      </c>
      <c r="D39" s="36" t="s">
        <v>177</v>
      </c>
      <c r="E39" s="35" t="s">
        <v>0</v>
      </c>
      <c r="F39" s="37">
        <f t="shared" ref="F39:P39" si="14">F40+F41+F42</f>
        <v>5638064.9299999997</v>
      </c>
      <c r="G39" s="37">
        <f t="shared" si="14"/>
        <v>0</v>
      </c>
      <c r="H39" s="37">
        <f t="shared" si="14"/>
        <v>5638064.9299999997</v>
      </c>
      <c r="I39" s="37">
        <f t="shared" si="14"/>
        <v>7500</v>
      </c>
      <c r="J39" s="37">
        <f t="shared" si="14"/>
        <v>5645564.9299999997</v>
      </c>
      <c r="K39" s="37">
        <f t="shared" si="14"/>
        <v>5742496.8099999996</v>
      </c>
      <c r="L39" s="37">
        <f t="shared" si="14"/>
        <v>0</v>
      </c>
      <c r="M39" s="37">
        <f t="shared" si="14"/>
        <v>5742496.8099999996</v>
      </c>
      <c r="N39" s="37">
        <f t="shared" si="14"/>
        <v>6101912.5200000005</v>
      </c>
      <c r="O39" s="37">
        <f t="shared" si="14"/>
        <v>0</v>
      </c>
      <c r="P39" s="37">
        <f t="shared" si="14"/>
        <v>6101912.5200000005</v>
      </c>
    </row>
    <row r="40" spans="1:16" x14ac:dyDescent="0.25">
      <c r="A40" s="96" t="s">
        <v>151</v>
      </c>
      <c r="B40" s="97" t="s">
        <v>142</v>
      </c>
      <c r="C40" s="97" t="s">
        <v>175</v>
      </c>
      <c r="D40" s="98" t="s">
        <v>177</v>
      </c>
      <c r="E40" s="97" t="s">
        <v>152</v>
      </c>
      <c r="F40" s="99">
        <v>5396063.4299999997</v>
      </c>
      <c r="G40" s="99">
        <v>0</v>
      </c>
      <c r="H40" s="38">
        <f>F40+G40</f>
        <v>5396063.4299999997</v>
      </c>
      <c r="I40" s="99">
        <v>0</v>
      </c>
      <c r="J40" s="38">
        <f>H40+I40</f>
        <v>5396063.4299999997</v>
      </c>
      <c r="K40" s="99">
        <v>5491339.25</v>
      </c>
      <c r="L40" s="99">
        <v>0</v>
      </c>
      <c r="M40" s="38">
        <f>K40+L40</f>
        <v>5491339.25</v>
      </c>
      <c r="N40" s="99">
        <v>5841668.6500000004</v>
      </c>
      <c r="O40" s="99">
        <v>0</v>
      </c>
      <c r="P40" s="38">
        <f>N40+O40</f>
        <v>5841668.6500000004</v>
      </c>
    </row>
    <row r="41" spans="1:16" ht="30" x14ac:dyDescent="0.25">
      <c r="A41" s="96" t="s">
        <v>153</v>
      </c>
      <c r="B41" s="97" t="s">
        <v>142</v>
      </c>
      <c r="C41" s="97" t="s">
        <v>175</v>
      </c>
      <c r="D41" s="98" t="s">
        <v>177</v>
      </c>
      <c r="E41" s="97" t="s">
        <v>158</v>
      </c>
      <c r="F41" s="99">
        <v>230501.5</v>
      </c>
      <c r="G41" s="99">
        <v>0</v>
      </c>
      <c r="H41" s="38">
        <f>F41+G41</f>
        <v>230501.5</v>
      </c>
      <c r="I41" s="99">
        <v>0</v>
      </c>
      <c r="J41" s="38">
        <f>H41+I41</f>
        <v>230501.5</v>
      </c>
      <c r="K41" s="99">
        <v>239174.56</v>
      </c>
      <c r="L41" s="99">
        <v>0</v>
      </c>
      <c r="M41" s="38">
        <f>K41+L41</f>
        <v>239174.56</v>
      </c>
      <c r="N41" s="99">
        <v>247781.55000000002</v>
      </c>
      <c r="O41" s="99">
        <v>0</v>
      </c>
      <c r="P41" s="38">
        <f>N41+O41</f>
        <v>247781.55000000002</v>
      </c>
    </row>
    <row r="42" spans="1:16" x14ac:dyDescent="0.25">
      <c r="A42" s="96" t="s">
        <v>172</v>
      </c>
      <c r="B42" s="97" t="s">
        <v>142</v>
      </c>
      <c r="C42" s="97" t="s">
        <v>175</v>
      </c>
      <c r="D42" s="98" t="s">
        <v>177</v>
      </c>
      <c r="E42" s="97" t="s">
        <v>173</v>
      </c>
      <c r="F42" s="99">
        <v>11500</v>
      </c>
      <c r="G42" s="99">
        <v>0</v>
      </c>
      <c r="H42" s="38">
        <f>F42+G42</f>
        <v>11500</v>
      </c>
      <c r="I42" s="99">
        <v>7500</v>
      </c>
      <c r="J42" s="38">
        <f>H42+I42</f>
        <v>19000</v>
      </c>
      <c r="K42" s="99">
        <v>11983</v>
      </c>
      <c r="L42" s="99">
        <v>0</v>
      </c>
      <c r="M42" s="38">
        <f>K42+L42</f>
        <v>11983</v>
      </c>
      <c r="N42" s="99">
        <v>12462.32</v>
      </c>
      <c r="O42" s="99">
        <v>0</v>
      </c>
      <c r="P42" s="38">
        <f>N42+O42</f>
        <v>12462.32</v>
      </c>
    </row>
    <row r="43" spans="1:16" x14ac:dyDescent="0.25">
      <c r="A43" s="30" t="s">
        <v>178</v>
      </c>
      <c r="B43" s="31" t="s">
        <v>142</v>
      </c>
      <c r="C43" s="31" t="s">
        <v>179</v>
      </c>
      <c r="D43" s="32" t="s">
        <v>0</v>
      </c>
      <c r="E43" s="32" t="s">
        <v>0</v>
      </c>
      <c r="F43" s="42">
        <f t="shared" ref="F43:P44" si="15">F44</f>
        <v>2798205.94</v>
      </c>
      <c r="G43" s="42">
        <f t="shared" si="15"/>
        <v>2085345.9</v>
      </c>
      <c r="H43" s="42">
        <f t="shared" si="15"/>
        <v>4883551.84</v>
      </c>
      <c r="I43" s="42">
        <f t="shared" si="15"/>
        <v>2594756.83</v>
      </c>
      <c r="J43" s="42">
        <f t="shared" si="15"/>
        <v>7478308.6699999999</v>
      </c>
      <c r="K43" s="33">
        <f t="shared" si="15"/>
        <v>2500000</v>
      </c>
      <c r="L43" s="42">
        <f t="shared" si="15"/>
        <v>0</v>
      </c>
      <c r="M43" s="42">
        <f t="shared" si="15"/>
        <v>2500000</v>
      </c>
      <c r="N43" s="33">
        <f t="shared" si="15"/>
        <v>2500000</v>
      </c>
      <c r="O43" s="42">
        <f t="shared" si="15"/>
        <v>0</v>
      </c>
      <c r="P43" s="42">
        <f t="shared" si="15"/>
        <v>2500000</v>
      </c>
    </row>
    <row r="44" spans="1:16" x14ac:dyDescent="0.25">
      <c r="A44" s="30" t="s">
        <v>145</v>
      </c>
      <c r="B44" s="31" t="s">
        <v>142</v>
      </c>
      <c r="C44" s="31" t="s">
        <v>179</v>
      </c>
      <c r="D44" s="32" t="s">
        <v>146</v>
      </c>
      <c r="E44" s="32" t="s">
        <v>0</v>
      </c>
      <c r="F44" s="42">
        <f t="shared" si="15"/>
        <v>2798205.94</v>
      </c>
      <c r="G44" s="42">
        <f t="shared" si="15"/>
        <v>2085345.9</v>
      </c>
      <c r="H44" s="42">
        <f t="shared" si="15"/>
        <v>4883551.84</v>
      </c>
      <c r="I44" s="42">
        <f t="shared" si="15"/>
        <v>2594756.83</v>
      </c>
      <c r="J44" s="42">
        <f t="shared" si="15"/>
        <v>7478308.6699999999</v>
      </c>
      <c r="K44" s="33">
        <f t="shared" si="15"/>
        <v>2500000</v>
      </c>
      <c r="L44" s="42">
        <f t="shared" si="15"/>
        <v>0</v>
      </c>
      <c r="M44" s="42">
        <f t="shared" si="15"/>
        <v>2500000</v>
      </c>
      <c r="N44" s="33">
        <f t="shared" si="15"/>
        <v>2500000</v>
      </c>
      <c r="O44" s="42">
        <f t="shared" si="15"/>
        <v>0</v>
      </c>
      <c r="P44" s="42">
        <f t="shared" si="15"/>
        <v>2500000</v>
      </c>
    </row>
    <row r="45" spans="1:16" x14ac:dyDescent="0.25">
      <c r="A45" s="30" t="s">
        <v>180</v>
      </c>
      <c r="B45" s="31" t="s">
        <v>142</v>
      </c>
      <c r="C45" s="31" t="s">
        <v>179</v>
      </c>
      <c r="D45" s="32" t="s">
        <v>181</v>
      </c>
      <c r="E45" s="32" t="s">
        <v>0</v>
      </c>
      <c r="F45" s="42">
        <f t="shared" ref="F45:P45" si="16">F46+F48</f>
        <v>2798205.94</v>
      </c>
      <c r="G45" s="42">
        <f t="shared" si="16"/>
        <v>2085345.9</v>
      </c>
      <c r="H45" s="42">
        <f t="shared" si="16"/>
        <v>4883551.84</v>
      </c>
      <c r="I45" s="42">
        <f t="shared" si="16"/>
        <v>2594756.83</v>
      </c>
      <c r="J45" s="42">
        <f t="shared" si="16"/>
        <v>7478308.6699999999</v>
      </c>
      <c r="K45" s="33">
        <f t="shared" si="16"/>
        <v>2500000</v>
      </c>
      <c r="L45" s="42">
        <f t="shared" si="16"/>
        <v>0</v>
      </c>
      <c r="M45" s="42">
        <f t="shared" si="16"/>
        <v>2500000</v>
      </c>
      <c r="N45" s="33">
        <f t="shared" si="16"/>
        <v>2500000</v>
      </c>
      <c r="O45" s="42">
        <f t="shared" si="16"/>
        <v>0</v>
      </c>
      <c r="P45" s="42">
        <f t="shared" si="16"/>
        <v>2500000</v>
      </c>
    </row>
    <row r="46" spans="1:16" x14ac:dyDescent="0.25">
      <c r="A46" s="34" t="s">
        <v>182</v>
      </c>
      <c r="B46" s="35" t="s">
        <v>142</v>
      </c>
      <c r="C46" s="35" t="s">
        <v>179</v>
      </c>
      <c r="D46" s="36" t="s">
        <v>183</v>
      </c>
      <c r="E46" s="36" t="s">
        <v>0</v>
      </c>
      <c r="F46" s="43">
        <f t="shared" ref="F46:P46" si="17">F47</f>
        <v>1298205.94</v>
      </c>
      <c r="G46" s="43">
        <f t="shared" si="17"/>
        <v>2085345.9</v>
      </c>
      <c r="H46" s="43">
        <f t="shared" si="17"/>
        <v>3383551.84</v>
      </c>
      <c r="I46" s="43">
        <f t="shared" si="17"/>
        <v>2594756.83</v>
      </c>
      <c r="J46" s="43">
        <f t="shared" si="17"/>
        <v>5978308.6699999999</v>
      </c>
      <c r="K46" s="37">
        <f t="shared" si="17"/>
        <v>1000000</v>
      </c>
      <c r="L46" s="43">
        <f t="shared" si="17"/>
        <v>0</v>
      </c>
      <c r="M46" s="43">
        <f t="shared" si="17"/>
        <v>1000000</v>
      </c>
      <c r="N46" s="37">
        <f t="shared" si="17"/>
        <v>1000000</v>
      </c>
      <c r="O46" s="43">
        <f t="shared" si="17"/>
        <v>0</v>
      </c>
      <c r="P46" s="43">
        <f t="shared" si="17"/>
        <v>1000000</v>
      </c>
    </row>
    <row r="47" spans="1:16" ht="13.5" customHeight="1" x14ac:dyDescent="0.25">
      <c r="A47" s="96" t="s">
        <v>172</v>
      </c>
      <c r="B47" s="97" t="s">
        <v>142</v>
      </c>
      <c r="C47" s="97" t="s">
        <v>179</v>
      </c>
      <c r="D47" s="98" t="s">
        <v>183</v>
      </c>
      <c r="E47" s="98" t="s">
        <v>173</v>
      </c>
      <c r="F47" s="44">
        <v>1298205.94</v>
      </c>
      <c r="G47" s="44">
        <v>2085345.9</v>
      </c>
      <c r="H47" s="38">
        <f>F47+G47</f>
        <v>3383551.84</v>
      </c>
      <c r="I47" s="44">
        <f>2500000+21856.83+72900</f>
        <v>2594756.83</v>
      </c>
      <c r="J47" s="38">
        <f>H47+I47</f>
        <v>5978308.6699999999</v>
      </c>
      <c r="K47" s="44">
        <v>1000000</v>
      </c>
      <c r="L47" s="44">
        <v>0</v>
      </c>
      <c r="M47" s="38">
        <f>K47+L47</f>
        <v>1000000</v>
      </c>
      <c r="N47" s="44">
        <v>1000000</v>
      </c>
      <c r="O47" s="44">
        <v>0</v>
      </c>
      <c r="P47" s="38">
        <f>N47+O47</f>
        <v>1000000</v>
      </c>
    </row>
    <row r="48" spans="1:16" ht="27" x14ac:dyDescent="0.25">
      <c r="A48" s="34" t="s">
        <v>184</v>
      </c>
      <c r="B48" s="35" t="s">
        <v>142</v>
      </c>
      <c r="C48" s="35" t="s">
        <v>179</v>
      </c>
      <c r="D48" s="36" t="s">
        <v>185</v>
      </c>
      <c r="E48" s="36" t="s">
        <v>0</v>
      </c>
      <c r="F48" s="43">
        <f t="shared" ref="F48:P48" si="18">F49</f>
        <v>1500000</v>
      </c>
      <c r="G48" s="43">
        <f t="shared" si="18"/>
        <v>0</v>
      </c>
      <c r="H48" s="43">
        <f t="shared" si="18"/>
        <v>1500000</v>
      </c>
      <c r="I48" s="43">
        <f t="shared" si="18"/>
        <v>0</v>
      </c>
      <c r="J48" s="43">
        <f t="shared" si="18"/>
        <v>1500000</v>
      </c>
      <c r="K48" s="37">
        <f t="shared" si="18"/>
        <v>1500000</v>
      </c>
      <c r="L48" s="43">
        <f t="shared" si="18"/>
        <v>0</v>
      </c>
      <c r="M48" s="43">
        <f t="shared" si="18"/>
        <v>1500000</v>
      </c>
      <c r="N48" s="37">
        <f t="shared" si="18"/>
        <v>1500000</v>
      </c>
      <c r="O48" s="43">
        <f t="shared" si="18"/>
        <v>0</v>
      </c>
      <c r="P48" s="43">
        <f t="shared" si="18"/>
        <v>1500000</v>
      </c>
    </row>
    <row r="49" spans="1:17" x14ac:dyDescent="0.25">
      <c r="A49" s="96" t="s">
        <v>172</v>
      </c>
      <c r="B49" s="97" t="s">
        <v>142</v>
      </c>
      <c r="C49" s="97" t="s">
        <v>179</v>
      </c>
      <c r="D49" s="98" t="s">
        <v>185</v>
      </c>
      <c r="E49" s="97" t="s">
        <v>173</v>
      </c>
      <c r="F49" s="99">
        <v>1500000</v>
      </c>
      <c r="G49" s="99">
        <v>0</v>
      </c>
      <c r="H49" s="38">
        <f>F49+G49</f>
        <v>1500000</v>
      </c>
      <c r="I49" s="99">
        <v>0</v>
      </c>
      <c r="J49" s="38">
        <f>H49+I49</f>
        <v>1500000</v>
      </c>
      <c r="K49" s="99">
        <v>1500000</v>
      </c>
      <c r="L49" s="99">
        <v>0</v>
      </c>
      <c r="M49" s="38">
        <f>K49+L49</f>
        <v>1500000</v>
      </c>
      <c r="N49" s="99">
        <v>1500000</v>
      </c>
      <c r="O49" s="99">
        <v>0</v>
      </c>
      <c r="P49" s="38">
        <f>N49+O49</f>
        <v>1500000</v>
      </c>
    </row>
    <row r="50" spans="1:17" x14ac:dyDescent="0.25">
      <c r="A50" s="30" t="s">
        <v>186</v>
      </c>
      <c r="B50" s="31" t="s">
        <v>142</v>
      </c>
      <c r="C50" s="31" t="s">
        <v>187</v>
      </c>
      <c r="D50" s="32" t="s">
        <v>0</v>
      </c>
      <c r="E50" s="31" t="s">
        <v>0</v>
      </c>
      <c r="F50" s="33">
        <f t="shared" ref="F50:P50" si="19">F51+F68</f>
        <v>18804318.090000004</v>
      </c>
      <c r="G50" s="33">
        <f t="shared" si="19"/>
        <v>2073474.96</v>
      </c>
      <c r="H50" s="33">
        <f t="shared" si="19"/>
        <v>20877793.050000001</v>
      </c>
      <c r="I50" s="33">
        <f t="shared" si="19"/>
        <v>50827886.979999997</v>
      </c>
      <c r="J50" s="33">
        <f t="shared" si="19"/>
        <v>71705680.030000001</v>
      </c>
      <c r="K50" s="33">
        <f t="shared" si="19"/>
        <v>24538870.109999999</v>
      </c>
      <c r="L50" s="33">
        <f t="shared" si="19"/>
        <v>0</v>
      </c>
      <c r="M50" s="33">
        <f t="shared" si="19"/>
        <v>24538870.109999999</v>
      </c>
      <c r="N50" s="33">
        <f t="shared" si="19"/>
        <v>39038094.390000001</v>
      </c>
      <c r="O50" s="33">
        <f t="shared" si="19"/>
        <v>0</v>
      </c>
      <c r="P50" s="33">
        <f t="shared" si="19"/>
        <v>39038094.390000001</v>
      </c>
    </row>
    <row r="51" spans="1:17" x14ac:dyDescent="0.25">
      <c r="A51" s="30" t="s">
        <v>188</v>
      </c>
      <c r="B51" s="31" t="s">
        <v>142</v>
      </c>
      <c r="C51" s="31" t="s">
        <v>187</v>
      </c>
      <c r="D51" s="32" t="s">
        <v>189</v>
      </c>
      <c r="E51" s="31" t="s">
        <v>0</v>
      </c>
      <c r="F51" s="42">
        <f>F52</f>
        <v>8162499.2200000007</v>
      </c>
      <c r="G51" s="42">
        <f>G52</f>
        <v>2018629.31</v>
      </c>
      <c r="H51" s="42">
        <f>H52</f>
        <v>10181128.530000001</v>
      </c>
      <c r="I51" s="42">
        <f>I52</f>
        <v>50600000</v>
      </c>
      <c r="J51" s="42">
        <f>J52</f>
        <v>60781128.530000001</v>
      </c>
      <c r="K51" s="42">
        <f t="shared" ref="K51:N51" si="20">K52</f>
        <v>7391767.8899999997</v>
      </c>
      <c r="L51" s="42">
        <f>L52</f>
        <v>0</v>
      </c>
      <c r="M51" s="42">
        <f>M52</f>
        <v>7391767.8899999997</v>
      </c>
      <c r="N51" s="42">
        <f t="shared" si="20"/>
        <v>7687438.5999999996</v>
      </c>
      <c r="O51" s="42">
        <f>O52</f>
        <v>0</v>
      </c>
      <c r="P51" s="42">
        <f>P52</f>
        <v>7687438.5999999996</v>
      </c>
    </row>
    <row r="52" spans="1:17" x14ac:dyDescent="0.25">
      <c r="A52" s="30" t="s">
        <v>165</v>
      </c>
      <c r="B52" s="31" t="s">
        <v>142</v>
      </c>
      <c r="C52" s="31" t="s">
        <v>187</v>
      </c>
      <c r="D52" s="32" t="s">
        <v>190</v>
      </c>
      <c r="E52" s="31" t="s">
        <v>0</v>
      </c>
      <c r="F52" s="42">
        <f>F53+F55+F57+F59+F64+F66+F61</f>
        <v>8162499.2200000007</v>
      </c>
      <c r="G52" s="42">
        <f t="shared" ref="G52:P52" si="21">G53+G55+G57+G59+G64+G66+G61</f>
        <v>2018629.31</v>
      </c>
      <c r="H52" s="42">
        <f t="shared" si="21"/>
        <v>10181128.530000001</v>
      </c>
      <c r="I52" s="42">
        <f t="shared" si="21"/>
        <v>50600000</v>
      </c>
      <c r="J52" s="42">
        <f t="shared" si="21"/>
        <v>60781128.530000001</v>
      </c>
      <c r="K52" s="42">
        <f t="shared" si="21"/>
        <v>7391767.8899999997</v>
      </c>
      <c r="L52" s="42">
        <f t="shared" si="21"/>
        <v>0</v>
      </c>
      <c r="M52" s="42">
        <f t="shared" si="21"/>
        <v>7391767.8899999997</v>
      </c>
      <c r="N52" s="42">
        <f t="shared" si="21"/>
        <v>7687438.5999999996</v>
      </c>
      <c r="O52" s="42">
        <f t="shared" si="21"/>
        <v>0</v>
      </c>
      <c r="P52" s="42">
        <f t="shared" si="21"/>
        <v>7687438.5999999996</v>
      </c>
    </row>
    <row r="53" spans="1:17" ht="27" x14ac:dyDescent="0.25">
      <c r="A53" s="34" t="s">
        <v>191</v>
      </c>
      <c r="B53" s="35" t="s">
        <v>142</v>
      </c>
      <c r="C53" s="35" t="s">
        <v>187</v>
      </c>
      <c r="D53" s="36" t="s">
        <v>192</v>
      </c>
      <c r="E53" s="35" t="s">
        <v>0</v>
      </c>
      <c r="F53" s="43">
        <f t="shared" ref="F53:P53" si="22">F54</f>
        <v>0</v>
      </c>
      <c r="G53" s="43">
        <f t="shared" si="22"/>
        <v>0</v>
      </c>
      <c r="H53" s="43">
        <f t="shared" si="22"/>
        <v>0</v>
      </c>
      <c r="I53" s="43">
        <f t="shared" si="22"/>
        <v>50000000</v>
      </c>
      <c r="J53" s="43">
        <f t="shared" si="22"/>
        <v>50000000</v>
      </c>
      <c r="K53" s="43">
        <f t="shared" si="22"/>
        <v>0</v>
      </c>
      <c r="L53" s="43">
        <f t="shared" si="22"/>
        <v>0</v>
      </c>
      <c r="M53" s="43">
        <f t="shared" si="22"/>
        <v>0</v>
      </c>
      <c r="N53" s="43">
        <f t="shared" si="22"/>
        <v>0</v>
      </c>
      <c r="O53" s="43">
        <f t="shared" si="22"/>
        <v>0</v>
      </c>
      <c r="P53" s="43">
        <f t="shared" si="22"/>
        <v>0</v>
      </c>
    </row>
    <row r="54" spans="1:17" x14ac:dyDescent="0.25">
      <c r="A54" s="96" t="s">
        <v>169</v>
      </c>
      <c r="B54" s="97" t="s">
        <v>142</v>
      </c>
      <c r="C54" s="97">
        <v>13</v>
      </c>
      <c r="D54" s="98" t="s">
        <v>192</v>
      </c>
      <c r="E54" s="97" t="s">
        <v>171</v>
      </c>
      <c r="F54" s="103">
        <v>0</v>
      </c>
      <c r="G54" s="44">
        <v>0</v>
      </c>
      <c r="H54" s="38">
        <f>F54+G54</f>
        <v>0</v>
      </c>
      <c r="I54" s="44">
        <v>50000000</v>
      </c>
      <c r="J54" s="38">
        <f>H54+I54</f>
        <v>50000000</v>
      </c>
      <c r="K54" s="103">
        <v>0</v>
      </c>
      <c r="L54" s="44">
        <v>0</v>
      </c>
      <c r="M54" s="38">
        <f>K54+L54</f>
        <v>0</v>
      </c>
      <c r="N54" s="103">
        <v>0</v>
      </c>
      <c r="O54" s="44">
        <v>0</v>
      </c>
      <c r="P54" s="38">
        <f>N54+O54</f>
        <v>0</v>
      </c>
    </row>
    <row r="55" spans="1:17" x14ac:dyDescent="0.25">
      <c r="A55" s="34" t="s">
        <v>193</v>
      </c>
      <c r="B55" s="35" t="s">
        <v>142</v>
      </c>
      <c r="C55" s="35" t="s">
        <v>187</v>
      </c>
      <c r="D55" s="36" t="s">
        <v>194</v>
      </c>
      <c r="E55" s="35" t="s">
        <v>0</v>
      </c>
      <c r="F55" s="43">
        <f t="shared" ref="F55:P55" si="23">F56</f>
        <v>274801</v>
      </c>
      <c r="G55" s="43">
        <f t="shared" si="23"/>
        <v>1640259.96</v>
      </c>
      <c r="H55" s="43">
        <f t="shared" si="23"/>
        <v>1915060.96</v>
      </c>
      <c r="I55" s="43">
        <f t="shared" si="23"/>
        <v>0</v>
      </c>
      <c r="J55" s="43">
        <f t="shared" si="23"/>
        <v>1915060.96</v>
      </c>
      <c r="K55" s="43">
        <f t="shared" si="23"/>
        <v>283045.03000000003</v>
      </c>
      <c r="L55" s="43">
        <f t="shared" si="23"/>
        <v>0</v>
      </c>
      <c r="M55" s="43">
        <f t="shared" si="23"/>
        <v>283045.03000000003</v>
      </c>
      <c r="N55" s="43">
        <f t="shared" si="23"/>
        <v>294366.83</v>
      </c>
      <c r="O55" s="43">
        <f t="shared" si="23"/>
        <v>0</v>
      </c>
      <c r="P55" s="43">
        <f t="shared" si="23"/>
        <v>294366.83</v>
      </c>
    </row>
    <row r="56" spans="1:17" ht="30" x14ac:dyDescent="0.25">
      <c r="A56" s="96" t="s">
        <v>153</v>
      </c>
      <c r="B56" s="97" t="s">
        <v>142</v>
      </c>
      <c r="C56" s="97" t="s">
        <v>187</v>
      </c>
      <c r="D56" s="98" t="s">
        <v>194</v>
      </c>
      <c r="E56" s="97" t="s">
        <v>158</v>
      </c>
      <c r="F56" s="103">
        <v>274801</v>
      </c>
      <c r="G56" s="44">
        <v>1640259.96</v>
      </c>
      <c r="H56" s="38">
        <f>F56+G56</f>
        <v>1915060.96</v>
      </c>
      <c r="I56" s="44">
        <v>0</v>
      </c>
      <c r="J56" s="38">
        <f>H56+I56</f>
        <v>1915060.96</v>
      </c>
      <c r="K56" s="103">
        <v>283045.03000000003</v>
      </c>
      <c r="L56" s="44">
        <v>0</v>
      </c>
      <c r="M56" s="38">
        <f>K56+L56</f>
        <v>283045.03000000003</v>
      </c>
      <c r="N56" s="103">
        <v>294366.83</v>
      </c>
      <c r="O56" s="44">
        <v>0</v>
      </c>
      <c r="P56" s="38">
        <f>N56+O56</f>
        <v>294366.83</v>
      </c>
    </row>
    <row r="57" spans="1:17" x14ac:dyDescent="0.25">
      <c r="A57" s="34" t="s">
        <v>195</v>
      </c>
      <c r="B57" s="35" t="s">
        <v>142</v>
      </c>
      <c r="C57" s="35" t="s">
        <v>187</v>
      </c>
      <c r="D57" s="36" t="s">
        <v>196</v>
      </c>
      <c r="E57" s="35" t="s">
        <v>0</v>
      </c>
      <c r="F57" s="43">
        <f t="shared" ref="F57:P57" si="24">F58</f>
        <v>267185</v>
      </c>
      <c r="G57" s="43">
        <f t="shared" si="24"/>
        <v>0</v>
      </c>
      <c r="H57" s="43">
        <f t="shared" si="24"/>
        <v>267185</v>
      </c>
      <c r="I57" s="43">
        <f t="shared" si="24"/>
        <v>0</v>
      </c>
      <c r="J57" s="43">
        <f t="shared" si="24"/>
        <v>267185</v>
      </c>
      <c r="K57" s="43">
        <f t="shared" si="24"/>
        <v>275200.55</v>
      </c>
      <c r="L57" s="43">
        <f t="shared" si="24"/>
        <v>0</v>
      </c>
      <c r="M57" s="43">
        <f t="shared" si="24"/>
        <v>275200.55</v>
      </c>
      <c r="N57" s="43">
        <f t="shared" si="24"/>
        <v>286208.57</v>
      </c>
      <c r="O57" s="43">
        <f t="shared" si="24"/>
        <v>0</v>
      </c>
      <c r="P57" s="43">
        <f t="shared" si="24"/>
        <v>286208.57</v>
      </c>
    </row>
    <row r="58" spans="1:17" ht="30" x14ac:dyDescent="0.25">
      <c r="A58" s="96" t="s">
        <v>153</v>
      </c>
      <c r="B58" s="97" t="s">
        <v>142</v>
      </c>
      <c r="C58" s="97" t="s">
        <v>187</v>
      </c>
      <c r="D58" s="98" t="s">
        <v>196</v>
      </c>
      <c r="E58" s="97" t="s">
        <v>158</v>
      </c>
      <c r="F58" s="40">
        <v>267185</v>
      </c>
      <c r="G58" s="40">
        <v>0</v>
      </c>
      <c r="H58" s="38">
        <f>F58+G58</f>
        <v>267185</v>
      </c>
      <c r="I58" s="40">
        <v>0</v>
      </c>
      <c r="J58" s="38">
        <f>H58+I58</f>
        <v>267185</v>
      </c>
      <c r="K58" s="40">
        <v>275200.55</v>
      </c>
      <c r="L58" s="40">
        <v>0</v>
      </c>
      <c r="M58" s="38">
        <f>K58+L58</f>
        <v>275200.55</v>
      </c>
      <c r="N58" s="45">
        <v>286208.57</v>
      </c>
      <c r="O58" s="40">
        <v>0</v>
      </c>
      <c r="P58" s="38">
        <f>N58+O58</f>
        <v>286208.57</v>
      </c>
    </row>
    <row r="59" spans="1:17" x14ac:dyDescent="0.25">
      <c r="A59" s="34" t="s">
        <v>197</v>
      </c>
      <c r="B59" s="35" t="s">
        <v>142</v>
      </c>
      <c r="C59" s="35" t="s">
        <v>187</v>
      </c>
      <c r="D59" s="36" t="s">
        <v>198</v>
      </c>
      <c r="E59" s="35" t="s">
        <v>0</v>
      </c>
      <c r="F59" s="43">
        <f t="shared" ref="F59:P59" si="25">F60</f>
        <v>2388848</v>
      </c>
      <c r="G59" s="43">
        <f t="shared" si="25"/>
        <v>0</v>
      </c>
      <c r="H59" s="43">
        <f t="shared" si="25"/>
        <v>2388848</v>
      </c>
      <c r="I59" s="43">
        <f t="shared" si="25"/>
        <v>0</v>
      </c>
      <c r="J59" s="43">
        <f t="shared" si="25"/>
        <v>2388848</v>
      </c>
      <c r="K59" s="43">
        <f t="shared" si="25"/>
        <v>2460513.44</v>
      </c>
      <c r="L59" s="43">
        <f t="shared" si="25"/>
        <v>0</v>
      </c>
      <c r="M59" s="43">
        <f t="shared" si="25"/>
        <v>2460513.44</v>
      </c>
      <c r="N59" s="43">
        <f t="shared" si="25"/>
        <v>2558933.98</v>
      </c>
      <c r="O59" s="43">
        <f t="shared" si="25"/>
        <v>0</v>
      </c>
      <c r="P59" s="43">
        <f t="shared" si="25"/>
        <v>2558933.98</v>
      </c>
    </row>
    <row r="60" spans="1:17" ht="30" x14ac:dyDescent="0.25">
      <c r="A60" s="96" t="s">
        <v>153</v>
      </c>
      <c r="B60" s="97" t="s">
        <v>142</v>
      </c>
      <c r="C60" s="97" t="s">
        <v>187</v>
      </c>
      <c r="D60" s="98" t="s">
        <v>198</v>
      </c>
      <c r="E60" s="97" t="s">
        <v>158</v>
      </c>
      <c r="F60" s="103">
        <v>2388848</v>
      </c>
      <c r="G60" s="103">
        <v>0</v>
      </c>
      <c r="H60" s="38">
        <f>F60+G60</f>
        <v>2388848</v>
      </c>
      <c r="I60" s="103">
        <v>0</v>
      </c>
      <c r="J60" s="38">
        <f>H60+I60</f>
        <v>2388848</v>
      </c>
      <c r="K60" s="103">
        <v>2460513.44</v>
      </c>
      <c r="L60" s="103">
        <v>0</v>
      </c>
      <c r="M60" s="38">
        <f>K60+L60</f>
        <v>2460513.44</v>
      </c>
      <c r="N60" s="103">
        <v>2558933.98</v>
      </c>
      <c r="O60" s="103">
        <v>0</v>
      </c>
      <c r="P60" s="38">
        <f>N60+O60</f>
        <v>2558933.98</v>
      </c>
    </row>
    <row r="61" spans="1:17" x14ac:dyDescent="0.25">
      <c r="A61" s="34" t="s">
        <v>199</v>
      </c>
      <c r="B61" s="35" t="s">
        <v>142</v>
      </c>
      <c r="C61" s="35" t="s">
        <v>187</v>
      </c>
      <c r="D61" s="36" t="s">
        <v>200</v>
      </c>
      <c r="E61" s="35" t="s">
        <v>0</v>
      </c>
      <c r="F61" s="43">
        <f t="shared" ref="F61:P61" si="26">F62+F63</f>
        <v>2355729</v>
      </c>
      <c r="G61" s="43">
        <f t="shared" si="26"/>
        <v>0</v>
      </c>
      <c r="H61" s="43">
        <f t="shared" si="26"/>
        <v>2355729</v>
      </c>
      <c r="I61" s="43">
        <f t="shared" si="26"/>
        <v>0</v>
      </c>
      <c r="J61" s="43">
        <f t="shared" si="26"/>
        <v>2355729</v>
      </c>
      <c r="K61" s="43">
        <f t="shared" si="26"/>
        <v>2426400.87</v>
      </c>
      <c r="L61" s="43">
        <f t="shared" si="26"/>
        <v>0</v>
      </c>
      <c r="M61" s="43">
        <f t="shared" si="26"/>
        <v>2426400.87</v>
      </c>
      <c r="N61" s="43">
        <f t="shared" si="26"/>
        <v>2523456.9</v>
      </c>
      <c r="O61" s="43">
        <f t="shared" si="26"/>
        <v>0</v>
      </c>
      <c r="P61" s="43">
        <f t="shared" si="26"/>
        <v>2523456.9</v>
      </c>
      <c r="Q61" s="95"/>
    </row>
    <row r="62" spans="1:17" ht="30" x14ac:dyDescent="0.25">
      <c r="A62" s="96" t="s">
        <v>153</v>
      </c>
      <c r="B62" s="97" t="s">
        <v>142</v>
      </c>
      <c r="C62" s="97" t="s">
        <v>187</v>
      </c>
      <c r="D62" s="98" t="s">
        <v>200</v>
      </c>
      <c r="E62" s="97" t="s">
        <v>158</v>
      </c>
      <c r="F62" s="103">
        <v>2355729</v>
      </c>
      <c r="G62" s="103">
        <v>0</v>
      </c>
      <c r="H62" s="38">
        <f>F62+G62</f>
        <v>2355729</v>
      </c>
      <c r="I62" s="103">
        <v>0</v>
      </c>
      <c r="J62" s="38">
        <f>H62+I62</f>
        <v>2355729</v>
      </c>
      <c r="K62" s="103">
        <v>2426400.87</v>
      </c>
      <c r="L62" s="103">
        <v>0</v>
      </c>
      <c r="M62" s="38">
        <f>K62+L62</f>
        <v>2426400.87</v>
      </c>
      <c r="N62" s="103">
        <v>2523456.9</v>
      </c>
      <c r="O62" s="103">
        <v>0</v>
      </c>
      <c r="P62" s="38">
        <f>N62+O62</f>
        <v>2523456.9</v>
      </c>
    </row>
    <row r="63" spans="1:17" x14ac:dyDescent="0.25">
      <c r="A63" s="96" t="s">
        <v>172</v>
      </c>
      <c r="B63" s="97" t="s">
        <v>142</v>
      </c>
      <c r="C63" s="97" t="s">
        <v>187</v>
      </c>
      <c r="D63" s="98" t="s">
        <v>200</v>
      </c>
      <c r="E63" s="97" t="s">
        <v>173</v>
      </c>
      <c r="F63" s="103">
        <v>0</v>
      </c>
      <c r="G63" s="103">
        <v>0</v>
      </c>
      <c r="H63" s="38">
        <f>F63+G63</f>
        <v>0</v>
      </c>
      <c r="I63" s="103">
        <v>0</v>
      </c>
      <c r="J63" s="38">
        <f>H63+I63</f>
        <v>0</v>
      </c>
      <c r="K63" s="103">
        <v>0</v>
      </c>
      <c r="L63" s="103">
        <v>0</v>
      </c>
      <c r="M63" s="38">
        <f>K63+L63</f>
        <v>0</v>
      </c>
      <c r="N63" s="103">
        <v>0</v>
      </c>
      <c r="O63" s="103">
        <v>0</v>
      </c>
      <c r="P63" s="38">
        <f>N63+O63</f>
        <v>0</v>
      </c>
    </row>
    <row r="64" spans="1:17" x14ac:dyDescent="0.25">
      <c r="A64" s="34" t="s">
        <v>201</v>
      </c>
      <c r="B64" s="35" t="s">
        <v>142</v>
      </c>
      <c r="C64" s="35" t="s">
        <v>187</v>
      </c>
      <c r="D64" s="46" t="s">
        <v>202</v>
      </c>
      <c r="E64" s="97" t="s">
        <v>0</v>
      </c>
      <c r="F64" s="43">
        <f t="shared" ref="F64:P66" si="27">F65</f>
        <v>0</v>
      </c>
      <c r="G64" s="43">
        <f t="shared" si="27"/>
        <v>0</v>
      </c>
      <c r="H64" s="43">
        <f t="shared" si="27"/>
        <v>0</v>
      </c>
      <c r="I64" s="43">
        <f t="shared" si="27"/>
        <v>600000</v>
      </c>
      <c r="J64" s="43">
        <f t="shared" si="27"/>
        <v>600000</v>
      </c>
      <c r="K64" s="43">
        <f t="shared" si="27"/>
        <v>0</v>
      </c>
      <c r="L64" s="43">
        <f t="shared" si="27"/>
        <v>0</v>
      </c>
      <c r="M64" s="43">
        <f t="shared" si="27"/>
        <v>0</v>
      </c>
      <c r="N64" s="43">
        <f t="shared" si="27"/>
        <v>0</v>
      </c>
      <c r="O64" s="43">
        <f t="shared" si="27"/>
        <v>0</v>
      </c>
      <c r="P64" s="43">
        <f t="shared" si="27"/>
        <v>0</v>
      </c>
    </row>
    <row r="65" spans="1:21" ht="30" x14ac:dyDescent="0.25">
      <c r="A65" s="96" t="s">
        <v>153</v>
      </c>
      <c r="B65" s="97" t="s">
        <v>142</v>
      </c>
      <c r="C65" s="97" t="s">
        <v>187</v>
      </c>
      <c r="D65" s="47" t="s">
        <v>202</v>
      </c>
      <c r="E65" s="97" t="s">
        <v>158</v>
      </c>
      <c r="F65" s="103">
        <v>0</v>
      </c>
      <c r="G65" s="103">
        <v>0</v>
      </c>
      <c r="H65" s="38">
        <f>F65+G65</f>
        <v>0</v>
      </c>
      <c r="I65" s="103">
        <v>600000</v>
      </c>
      <c r="J65" s="38">
        <f>H65+I65</f>
        <v>600000</v>
      </c>
      <c r="K65" s="103">
        <v>0</v>
      </c>
      <c r="L65" s="103">
        <v>0</v>
      </c>
      <c r="M65" s="38">
        <f>K65+L65</f>
        <v>0</v>
      </c>
      <c r="N65" s="103">
        <v>0</v>
      </c>
      <c r="O65" s="103">
        <v>0</v>
      </c>
      <c r="P65" s="38">
        <f>N65+O65</f>
        <v>0</v>
      </c>
    </row>
    <row r="66" spans="1:21" x14ac:dyDescent="0.25">
      <c r="A66" s="34" t="s">
        <v>203</v>
      </c>
      <c r="B66" s="35" t="s">
        <v>142</v>
      </c>
      <c r="C66" s="35" t="s">
        <v>187</v>
      </c>
      <c r="D66" s="46" t="s">
        <v>204</v>
      </c>
      <c r="E66" s="97" t="s">
        <v>0</v>
      </c>
      <c r="F66" s="43">
        <f t="shared" si="27"/>
        <v>2875936.22</v>
      </c>
      <c r="G66" s="43">
        <f t="shared" si="27"/>
        <v>378369.35</v>
      </c>
      <c r="H66" s="43">
        <f t="shared" si="27"/>
        <v>3254305.5700000003</v>
      </c>
      <c r="I66" s="43">
        <f t="shared" si="27"/>
        <v>0</v>
      </c>
      <c r="J66" s="43">
        <f t="shared" si="27"/>
        <v>3254305.5700000003</v>
      </c>
      <c r="K66" s="43">
        <f t="shared" si="27"/>
        <v>1946608</v>
      </c>
      <c r="L66" s="43">
        <f t="shared" si="27"/>
        <v>0</v>
      </c>
      <c r="M66" s="43">
        <f t="shared" si="27"/>
        <v>1946608</v>
      </c>
      <c r="N66" s="43">
        <f t="shared" si="27"/>
        <v>2024472.32</v>
      </c>
      <c r="O66" s="43">
        <f t="shared" si="27"/>
        <v>0</v>
      </c>
      <c r="P66" s="43">
        <f t="shared" si="27"/>
        <v>2024472.32</v>
      </c>
    </row>
    <row r="67" spans="1:21" ht="30" x14ac:dyDescent="0.25">
      <c r="A67" s="96" t="s">
        <v>153</v>
      </c>
      <c r="B67" s="97" t="s">
        <v>142</v>
      </c>
      <c r="C67" s="97" t="s">
        <v>187</v>
      </c>
      <c r="D67" s="47" t="s">
        <v>204</v>
      </c>
      <c r="E67" s="97" t="s">
        <v>158</v>
      </c>
      <c r="F67" s="103">
        <v>2875936.22</v>
      </c>
      <c r="G67" s="103">
        <v>378369.35</v>
      </c>
      <c r="H67" s="38">
        <f>F67+G67</f>
        <v>3254305.5700000003</v>
      </c>
      <c r="I67" s="103">
        <v>0</v>
      </c>
      <c r="J67" s="38">
        <f>H67+I67</f>
        <v>3254305.5700000003</v>
      </c>
      <c r="K67" s="103">
        <v>1946608</v>
      </c>
      <c r="L67" s="103">
        <v>0</v>
      </c>
      <c r="M67" s="38">
        <f>K67+L67</f>
        <v>1946608</v>
      </c>
      <c r="N67" s="103">
        <v>2024472.32</v>
      </c>
      <c r="O67" s="103">
        <v>0</v>
      </c>
      <c r="P67" s="38">
        <f>N67+O67</f>
        <v>2024472.32</v>
      </c>
    </row>
    <row r="68" spans="1:21" x14ac:dyDescent="0.25">
      <c r="A68" s="30" t="s">
        <v>145</v>
      </c>
      <c r="B68" s="31" t="s">
        <v>142</v>
      </c>
      <c r="C68" s="31" t="s">
        <v>187</v>
      </c>
      <c r="D68" s="32" t="s">
        <v>146</v>
      </c>
      <c r="E68" s="31" t="s">
        <v>0</v>
      </c>
      <c r="F68" s="33">
        <f t="shared" ref="F68:P68" si="28">F69+F76</f>
        <v>10641818.870000001</v>
      </c>
      <c r="G68" s="33">
        <f t="shared" si="28"/>
        <v>54845.65</v>
      </c>
      <c r="H68" s="33">
        <f t="shared" si="28"/>
        <v>10696664.52</v>
      </c>
      <c r="I68" s="33">
        <f t="shared" si="28"/>
        <v>227886.98</v>
      </c>
      <c r="J68" s="33">
        <f t="shared" si="28"/>
        <v>10924551.5</v>
      </c>
      <c r="K68" s="33">
        <f t="shared" si="28"/>
        <v>17147102.219999999</v>
      </c>
      <c r="L68" s="33">
        <f t="shared" si="28"/>
        <v>0</v>
      </c>
      <c r="M68" s="33">
        <f t="shared" si="28"/>
        <v>17147102.219999999</v>
      </c>
      <c r="N68" s="33">
        <f t="shared" si="28"/>
        <v>31350655.790000003</v>
      </c>
      <c r="O68" s="33">
        <f t="shared" si="28"/>
        <v>0</v>
      </c>
      <c r="P68" s="33">
        <f t="shared" si="28"/>
        <v>31350655.790000003</v>
      </c>
    </row>
    <row r="69" spans="1:21" x14ac:dyDescent="0.25">
      <c r="A69" s="30" t="s">
        <v>180</v>
      </c>
      <c r="B69" s="31" t="s">
        <v>142</v>
      </c>
      <c r="C69" s="31" t="s">
        <v>187</v>
      </c>
      <c r="D69" s="32" t="s">
        <v>181</v>
      </c>
      <c r="E69" s="31" t="s">
        <v>0</v>
      </c>
      <c r="F69" s="33">
        <f t="shared" ref="F69:P69" si="29">F70+F72</f>
        <v>10641818.870000001</v>
      </c>
      <c r="G69" s="33">
        <f t="shared" si="29"/>
        <v>54845.65</v>
      </c>
      <c r="H69" s="33">
        <f t="shared" si="29"/>
        <v>10696664.52</v>
      </c>
      <c r="I69" s="33">
        <f t="shared" si="29"/>
        <v>227886.98</v>
      </c>
      <c r="J69" s="33">
        <f t="shared" si="29"/>
        <v>10924551.5</v>
      </c>
      <c r="K69" s="33">
        <f t="shared" si="29"/>
        <v>4470774.84</v>
      </c>
      <c r="L69" s="33">
        <f t="shared" si="29"/>
        <v>0</v>
      </c>
      <c r="M69" s="33">
        <f t="shared" si="29"/>
        <v>4470774.84</v>
      </c>
      <c r="N69" s="33">
        <f t="shared" si="29"/>
        <v>5056672.37</v>
      </c>
      <c r="O69" s="33">
        <f t="shared" si="29"/>
        <v>0</v>
      </c>
      <c r="P69" s="33">
        <f t="shared" si="29"/>
        <v>5056672.37</v>
      </c>
    </row>
    <row r="70" spans="1:21" ht="27" x14ac:dyDescent="0.25">
      <c r="A70" s="34" t="s">
        <v>205</v>
      </c>
      <c r="B70" s="35" t="s">
        <v>142</v>
      </c>
      <c r="C70" s="35" t="s">
        <v>187</v>
      </c>
      <c r="D70" s="36" t="s">
        <v>206</v>
      </c>
      <c r="E70" s="35" t="s">
        <v>0</v>
      </c>
      <c r="F70" s="37">
        <f t="shared" ref="F70:P70" si="30">F71</f>
        <v>6641958</v>
      </c>
      <c r="G70" s="37">
        <f t="shared" si="30"/>
        <v>54845.65</v>
      </c>
      <c r="H70" s="37">
        <f t="shared" si="30"/>
        <v>6696803.6500000004</v>
      </c>
      <c r="I70" s="37">
        <f t="shared" si="30"/>
        <v>252086.98</v>
      </c>
      <c r="J70" s="37">
        <f t="shared" si="30"/>
        <v>6948890.6300000008</v>
      </c>
      <c r="K70" s="37">
        <f t="shared" si="30"/>
        <v>400000</v>
      </c>
      <c r="L70" s="37">
        <f t="shared" si="30"/>
        <v>0</v>
      </c>
      <c r="M70" s="37">
        <f t="shared" si="30"/>
        <v>400000</v>
      </c>
      <c r="N70" s="37">
        <f t="shared" si="30"/>
        <v>100000</v>
      </c>
      <c r="O70" s="37">
        <f t="shared" si="30"/>
        <v>0</v>
      </c>
      <c r="P70" s="37">
        <f t="shared" si="30"/>
        <v>100000</v>
      </c>
    </row>
    <row r="71" spans="1:21" x14ac:dyDescent="0.25">
      <c r="A71" s="96" t="s">
        <v>172</v>
      </c>
      <c r="B71" s="97" t="s">
        <v>142</v>
      </c>
      <c r="C71" s="97" t="s">
        <v>187</v>
      </c>
      <c r="D71" s="98" t="s">
        <v>206</v>
      </c>
      <c r="E71" s="97" t="s">
        <v>173</v>
      </c>
      <c r="F71" s="103">
        <v>6641958</v>
      </c>
      <c r="G71" s="103">
        <v>54845.65</v>
      </c>
      <c r="H71" s="38">
        <f>F71+G71</f>
        <v>6696803.6500000004</v>
      </c>
      <c r="I71" s="103">
        <f>211086.98+41000</f>
        <v>252086.98</v>
      </c>
      <c r="J71" s="38">
        <f>H71+I71</f>
        <v>6948890.6300000008</v>
      </c>
      <c r="K71" s="103">
        <v>400000</v>
      </c>
      <c r="L71" s="103">
        <v>0</v>
      </c>
      <c r="M71" s="38">
        <f>K71+L71</f>
        <v>400000</v>
      </c>
      <c r="N71" s="103">
        <v>100000</v>
      </c>
      <c r="O71" s="103">
        <v>0</v>
      </c>
      <c r="P71" s="38">
        <f>N71+O71</f>
        <v>100000</v>
      </c>
    </row>
    <row r="72" spans="1:21" ht="12.75" customHeight="1" x14ac:dyDescent="0.25">
      <c r="A72" s="34" t="s">
        <v>207</v>
      </c>
      <c r="B72" s="35" t="s">
        <v>142</v>
      </c>
      <c r="C72" s="35" t="s">
        <v>187</v>
      </c>
      <c r="D72" s="36" t="s">
        <v>208</v>
      </c>
      <c r="E72" s="35" t="s">
        <v>0</v>
      </c>
      <c r="F72" s="37">
        <f t="shared" ref="F72:P72" si="31">F73+F74+F75</f>
        <v>3999860.87</v>
      </c>
      <c r="G72" s="37">
        <f t="shared" si="31"/>
        <v>0</v>
      </c>
      <c r="H72" s="37">
        <f t="shared" si="31"/>
        <v>3999860.87</v>
      </c>
      <c r="I72" s="37">
        <f t="shared" si="31"/>
        <v>-24200</v>
      </c>
      <c r="J72" s="37">
        <f t="shared" si="31"/>
        <v>3975660.87</v>
      </c>
      <c r="K72" s="37">
        <f t="shared" si="31"/>
        <v>4070774.8400000003</v>
      </c>
      <c r="L72" s="37">
        <f t="shared" si="31"/>
        <v>0</v>
      </c>
      <c r="M72" s="37">
        <f t="shared" si="31"/>
        <v>4070774.8400000003</v>
      </c>
      <c r="N72" s="37">
        <f t="shared" si="31"/>
        <v>4956672.37</v>
      </c>
      <c r="O72" s="37">
        <f t="shared" si="31"/>
        <v>0</v>
      </c>
      <c r="P72" s="37">
        <f t="shared" si="31"/>
        <v>4956672.37</v>
      </c>
    </row>
    <row r="73" spans="1:21" ht="30" x14ac:dyDescent="0.25">
      <c r="A73" s="96" t="s">
        <v>153</v>
      </c>
      <c r="B73" s="97" t="s">
        <v>142</v>
      </c>
      <c r="C73" s="97" t="s">
        <v>187</v>
      </c>
      <c r="D73" s="98" t="s">
        <v>208</v>
      </c>
      <c r="E73" s="97" t="s">
        <v>158</v>
      </c>
      <c r="F73" s="103">
        <v>3022079.62</v>
      </c>
      <c r="G73" s="103">
        <v>0</v>
      </c>
      <c r="H73" s="38">
        <f>F73+G73</f>
        <v>3022079.62</v>
      </c>
      <c r="I73" s="103">
        <v>-41000</v>
      </c>
      <c r="J73" s="38">
        <f>H73+I73</f>
        <v>2981079.62</v>
      </c>
      <c r="K73" s="103">
        <v>3081116.7800000003</v>
      </c>
      <c r="L73" s="103">
        <v>0</v>
      </c>
      <c r="M73" s="38">
        <f>K73+L73</f>
        <v>3081116.7800000003</v>
      </c>
      <c r="N73" s="103">
        <v>3515227.98</v>
      </c>
      <c r="O73" s="103">
        <v>0</v>
      </c>
      <c r="P73" s="38">
        <f>N73+O73</f>
        <v>3515227.98</v>
      </c>
    </row>
    <row r="74" spans="1:21" x14ac:dyDescent="0.25">
      <c r="A74" s="96" t="s">
        <v>209</v>
      </c>
      <c r="B74" s="97" t="s">
        <v>142</v>
      </c>
      <c r="C74" s="97" t="s">
        <v>187</v>
      </c>
      <c r="D74" s="98" t="s">
        <v>208</v>
      </c>
      <c r="E74" s="97" t="s">
        <v>210</v>
      </c>
      <c r="F74" s="103">
        <v>695000</v>
      </c>
      <c r="G74" s="103">
        <v>0</v>
      </c>
      <c r="H74" s="38">
        <f>F74+G74</f>
        <v>695000</v>
      </c>
      <c r="I74" s="103">
        <v>0</v>
      </c>
      <c r="J74" s="38">
        <f>H74+I74</f>
        <v>695000</v>
      </c>
      <c r="K74" s="103">
        <v>695000</v>
      </c>
      <c r="L74" s="103">
        <v>0</v>
      </c>
      <c r="M74" s="38">
        <f>K74+L74</f>
        <v>695000</v>
      </c>
      <c r="N74" s="103">
        <v>1135000</v>
      </c>
      <c r="O74" s="103">
        <v>0</v>
      </c>
      <c r="P74" s="38">
        <f>N74+O74</f>
        <v>1135000</v>
      </c>
      <c r="Q74" s="95"/>
      <c r="R74" s="95"/>
      <c r="S74" s="95"/>
      <c r="T74" s="95"/>
    </row>
    <row r="75" spans="1:21" x14ac:dyDescent="0.25">
      <c r="A75" s="96" t="s">
        <v>172</v>
      </c>
      <c r="B75" s="97" t="s">
        <v>142</v>
      </c>
      <c r="C75" s="97" t="s">
        <v>187</v>
      </c>
      <c r="D75" s="98" t="s">
        <v>208</v>
      </c>
      <c r="E75" s="97" t="s">
        <v>173</v>
      </c>
      <c r="F75" s="103">
        <v>282781.25</v>
      </c>
      <c r="G75" s="103">
        <v>0</v>
      </c>
      <c r="H75" s="38">
        <f>F75+G75</f>
        <v>282781.25</v>
      </c>
      <c r="I75" s="103">
        <v>16800</v>
      </c>
      <c r="J75" s="38">
        <f>H75+I75</f>
        <v>299581.25</v>
      </c>
      <c r="K75" s="103">
        <v>294658.06</v>
      </c>
      <c r="L75" s="103">
        <v>0</v>
      </c>
      <c r="M75" s="38">
        <f>K75+L75</f>
        <v>294658.06</v>
      </c>
      <c r="N75" s="103">
        <v>306444.39</v>
      </c>
      <c r="O75" s="103">
        <v>0</v>
      </c>
      <c r="P75" s="38">
        <f>N75+O75</f>
        <v>306444.39</v>
      </c>
      <c r="Q75" s="95"/>
      <c r="R75" s="95"/>
      <c r="S75" s="95"/>
      <c r="T75" s="95"/>
    </row>
    <row r="76" spans="1:21" x14ac:dyDescent="0.25">
      <c r="A76" s="30" t="s">
        <v>211</v>
      </c>
      <c r="B76" s="31" t="s">
        <v>142</v>
      </c>
      <c r="C76" s="31" t="s">
        <v>187</v>
      </c>
      <c r="D76" s="32" t="s">
        <v>212</v>
      </c>
      <c r="E76" s="31" t="s">
        <v>0</v>
      </c>
      <c r="F76" s="33">
        <f t="shared" ref="F76:P77" si="32">F77</f>
        <v>0</v>
      </c>
      <c r="G76" s="33">
        <f t="shared" si="32"/>
        <v>0</v>
      </c>
      <c r="H76" s="33">
        <f t="shared" si="32"/>
        <v>0</v>
      </c>
      <c r="I76" s="33">
        <f t="shared" si="32"/>
        <v>0</v>
      </c>
      <c r="J76" s="33">
        <f t="shared" si="32"/>
        <v>0</v>
      </c>
      <c r="K76" s="33">
        <f t="shared" si="32"/>
        <v>12676327.380000001</v>
      </c>
      <c r="L76" s="33">
        <f t="shared" si="32"/>
        <v>0</v>
      </c>
      <c r="M76" s="33">
        <f t="shared" si="32"/>
        <v>12676327.380000001</v>
      </c>
      <c r="N76" s="33">
        <f t="shared" si="32"/>
        <v>26293983.420000002</v>
      </c>
      <c r="O76" s="33">
        <f t="shared" si="32"/>
        <v>0</v>
      </c>
      <c r="P76" s="33">
        <f t="shared" si="32"/>
        <v>26293983.420000002</v>
      </c>
      <c r="Q76" s="95"/>
      <c r="R76" s="95"/>
      <c r="S76" s="95"/>
      <c r="T76" s="95"/>
    </row>
    <row r="77" spans="1:21" ht="15" customHeight="1" x14ac:dyDescent="0.25">
      <c r="A77" s="48" t="s">
        <v>211</v>
      </c>
      <c r="B77" s="36" t="s">
        <v>142</v>
      </c>
      <c r="C77" s="36" t="s">
        <v>187</v>
      </c>
      <c r="D77" s="36" t="s">
        <v>212</v>
      </c>
      <c r="E77" s="36" t="s">
        <v>0</v>
      </c>
      <c r="F77" s="43">
        <f t="shared" si="32"/>
        <v>0</v>
      </c>
      <c r="G77" s="43">
        <f t="shared" si="32"/>
        <v>0</v>
      </c>
      <c r="H77" s="43">
        <f t="shared" si="32"/>
        <v>0</v>
      </c>
      <c r="I77" s="43">
        <f t="shared" si="32"/>
        <v>0</v>
      </c>
      <c r="J77" s="43">
        <f t="shared" si="32"/>
        <v>0</v>
      </c>
      <c r="K77" s="43">
        <f t="shared" si="32"/>
        <v>12676327.380000001</v>
      </c>
      <c r="L77" s="43">
        <f t="shared" si="32"/>
        <v>0</v>
      </c>
      <c r="M77" s="43">
        <f t="shared" si="32"/>
        <v>12676327.380000001</v>
      </c>
      <c r="N77" s="43">
        <f t="shared" si="32"/>
        <v>26293983.420000002</v>
      </c>
      <c r="O77" s="43">
        <f t="shared" si="32"/>
        <v>0</v>
      </c>
      <c r="P77" s="43">
        <f t="shared" si="32"/>
        <v>26293983.420000002</v>
      </c>
      <c r="Q77" s="95"/>
      <c r="R77" s="95"/>
      <c r="S77" s="95"/>
      <c r="T77" s="95"/>
    </row>
    <row r="78" spans="1:21" ht="15" customHeight="1" x14ac:dyDescent="0.25">
      <c r="A78" s="105" t="s">
        <v>172</v>
      </c>
      <c r="B78" s="98" t="s">
        <v>142</v>
      </c>
      <c r="C78" s="98" t="s">
        <v>187</v>
      </c>
      <c r="D78" s="98" t="s">
        <v>212</v>
      </c>
      <c r="E78" s="98" t="s">
        <v>173</v>
      </c>
      <c r="F78" s="103">
        <v>0</v>
      </c>
      <c r="G78" s="103">
        <v>0</v>
      </c>
      <c r="H78" s="38">
        <f>F78+G78</f>
        <v>0</v>
      </c>
      <c r="I78" s="103">
        <v>0</v>
      </c>
      <c r="J78" s="38">
        <f>H78+I78</f>
        <v>0</v>
      </c>
      <c r="K78" s="44">
        <v>12676327.380000001</v>
      </c>
      <c r="L78" s="103">
        <v>0</v>
      </c>
      <c r="M78" s="38">
        <f>K78+L78</f>
        <v>12676327.380000001</v>
      </c>
      <c r="N78" s="44">
        <v>26293983.420000002</v>
      </c>
      <c r="O78" s="103">
        <v>0</v>
      </c>
      <c r="P78" s="38">
        <f>N78+O78</f>
        <v>26293983.420000002</v>
      </c>
      <c r="Q78" s="118">
        <f>(M6-'МБТ 6'!D13-M78)*2.5%</f>
        <v>12726327.376129465</v>
      </c>
      <c r="R78" s="118">
        <f>(P6-P78)*5%</f>
        <v>26393983.415370457</v>
      </c>
      <c r="S78" s="118"/>
      <c r="T78" s="118">
        <f>(K6-'МБТ 6'!D11-K78)*2.5%</f>
        <v>12676327.376129465</v>
      </c>
      <c r="U78" s="118"/>
    </row>
    <row r="79" spans="1:21" x14ac:dyDescent="0.25">
      <c r="A79" s="30" t="s">
        <v>213</v>
      </c>
      <c r="B79" s="31" t="s">
        <v>155</v>
      </c>
      <c r="C79" s="31" t="s">
        <v>0</v>
      </c>
      <c r="D79" s="32" t="s">
        <v>0</v>
      </c>
      <c r="E79" s="31" t="s">
        <v>0</v>
      </c>
      <c r="F79" s="33">
        <f t="shared" ref="F79:P79" si="33">F86+F80</f>
        <v>4628586.1500000004</v>
      </c>
      <c r="G79" s="33">
        <f t="shared" si="33"/>
        <v>77798.100000000006</v>
      </c>
      <c r="H79" s="33">
        <f t="shared" si="33"/>
        <v>4706384.25</v>
      </c>
      <c r="I79" s="33">
        <f t="shared" si="33"/>
        <v>0</v>
      </c>
      <c r="J79" s="33">
        <f t="shared" si="33"/>
        <v>4706384.25</v>
      </c>
      <c r="K79" s="33">
        <f t="shared" si="33"/>
        <v>4628586.1500000004</v>
      </c>
      <c r="L79" s="33">
        <f t="shared" si="33"/>
        <v>2000000</v>
      </c>
      <c r="M79" s="33">
        <f t="shared" si="33"/>
        <v>6628586.1500000004</v>
      </c>
      <c r="N79" s="33">
        <f t="shared" si="33"/>
        <v>3933586.1500000004</v>
      </c>
      <c r="O79" s="33">
        <f t="shared" si="33"/>
        <v>2000000</v>
      </c>
      <c r="P79" s="33">
        <f t="shared" si="33"/>
        <v>5933586.1500000004</v>
      </c>
      <c r="Q79" s="118"/>
      <c r="R79" s="118"/>
      <c r="S79" s="118"/>
      <c r="T79" s="118"/>
      <c r="U79" s="118"/>
    </row>
    <row r="80" spans="1:21" ht="25.5" x14ac:dyDescent="0.25">
      <c r="A80" s="30" t="s">
        <v>214</v>
      </c>
      <c r="B80" s="31" t="s">
        <v>155</v>
      </c>
      <c r="C80" s="31">
        <v>10</v>
      </c>
      <c r="D80" s="32"/>
      <c r="E80" s="31"/>
      <c r="F80" s="42">
        <f t="shared" ref="F80:P82" si="34">F81</f>
        <v>2727203.95</v>
      </c>
      <c r="G80" s="42">
        <f t="shared" si="34"/>
        <v>0</v>
      </c>
      <c r="H80" s="42">
        <f t="shared" si="34"/>
        <v>2727203.95</v>
      </c>
      <c r="I80" s="42">
        <f t="shared" si="34"/>
        <v>510518.9</v>
      </c>
      <c r="J80" s="42">
        <f t="shared" si="34"/>
        <v>3237722.85</v>
      </c>
      <c r="K80" s="42">
        <f t="shared" si="34"/>
        <v>2727203.95</v>
      </c>
      <c r="L80" s="42">
        <f t="shared" si="34"/>
        <v>2000000</v>
      </c>
      <c r="M80" s="42">
        <f t="shared" si="34"/>
        <v>4727203.95</v>
      </c>
      <c r="N80" s="42">
        <f t="shared" si="34"/>
        <v>2727203.95</v>
      </c>
      <c r="O80" s="42">
        <f t="shared" si="34"/>
        <v>2000000</v>
      </c>
      <c r="P80" s="42">
        <f t="shared" si="34"/>
        <v>4727203.95</v>
      </c>
      <c r="Q80" s="118">
        <f>Q78-M78</f>
        <v>49999.996129464358</v>
      </c>
      <c r="R80" s="118">
        <f>P78-R78</f>
        <v>-99999.995370455086</v>
      </c>
      <c r="S80" s="167"/>
      <c r="T80" s="118">
        <f>K78-T78</f>
        <v>3.8705356419086456E-3</v>
      </c>
      <c r="U80" s="118"/>
    </row>
    <row r="81" spans="1:19" x14ac:dyDescent="0.25">
      <c r="A81" s="30" t="s">
        <v>215</v>
      </c>
      <c r="B81" s="31" t="s">
        <v>155</v>
      </c>
      <c r="C81" s="31">
        <v>10</v>
      </c>
      <c r="D81" s="32" t="s">
        <v>216</v>
      </c>
      <c r="E81" s="31"/>
      <c r="F81" s="42">
        <f t="shared" si="34"/>
        <v>2727203.95</v>
      </c>
      <c r="G81" s="42">
        <f t="shared" si="34"/>
        <v>0</v>
      </c>
      <c r="H81" s="42">
        <f t="shared" si="34"/>
        <v>2727203.95</v>
      </c>
      <c r="I81" s="42">
        <f t="shared" si="34"/>
        <v>510518.9</v>
      </c>
      <c r="J81" s="42">
        <f t="shared" si="34"/>
        <v>3237722.85</v>
      </c>
      <c r="K81" s="42">
        <f t="shared" si="34"/>
        <v>2727203.95</v>
      </c>
      <c r="L81" s="42">
        <f t="shared" si="34"/>
        <v>2000000</v>
      </c>
      <c r="M81" s="42">
        <f t="shared" si="34"/>
        <v>4727203.95</v>
      </c>
      <c r="N81" s="42">
        <f t="shared" si="34"/>
        <v>2727203.95</v>
      </c>
      <c r="O81" s="42">
        <f t="shared" si="34"/>
        <v>2000000</v>
      </c>
      <c r="P81" s="42">
        <f t="shared" si="34"/>
        <v>4727203.95</v>
      </c>
      <c r="Q81" s="167"/>
      <c r="R81" s="167"/>
      <c r="S81" s="167"/>
    </row>
    <row r="82" spans="1:19" x14ac:dyDescent="0.25">
      <c r="A82" s="30" t="s">
        <v>165</v>
      </c>
      <c r="B82" s="31" t="s">
        <v>155</v>
      </c>
      <c r="C82" s="31">
        <v>10</v>
      </c>
      <c r="D82" s="32" t="s">
        <v>217</v>
      </c>
      <c r="E82" s="31"/>
      <c r="F82" s="42">
        <f t="shared" si="34"/>
        <v>2727203.95</v>
      </c>
      <c r="G82" s="42">
        <f t="shared" si="34"/>
        <v>0</v>
      </c>
      <c r="H82" s="42">
        <f t="shared" si="34"/>
        <v>2727203.95</v>
      </c>
      <c r="I82" s="42">
        <f t="shared" si="34"/>
        <v>510518.9</v>
      </c>
      <c r="J82" s="42">
        <f t="shared" si="34"/>
        <v>3237722.85</v>
      </c>
      <c r="K82" s="42">
        <f t="shared" si="34"/>
        <v>2727203.95</v>
      </c>
      <c r="L82" s="42">
        <f t="shared" si="34"/>
        <v>2000000</v>
      </c>
      <c r="M82" s="42">
        <f t="shared" si="34"/>
        <v>4727203.95</v>
      </c>
      <c r="N82" s="42">
        <f t="shared" si="34"/>
        <v>2727203.95</v>
      </c>
      <c r="O82" s="42">
        <f t="shared" si="34"/>
        <v>2000000</v>
      </c>
      <c r="P82" s="42">
        <f t="shared" si="34"/>
        <v>4727203.95</v>
      </c>
      <c r="Q82" s="167"/>
      <c r="R82" s="167"/>
      <c r="S82" s="167"/>
    </row>
    <row r="83" spans="1:19" ht="27" x14ac:dyDescent="0.25">
      <c r="A83" s="34" t="s">
        <v>218</v>
      </c>
      <c r="B83" s="35" t="s">
        <v>155</v>
      </c>
      <c r="C83" s="35">
        <v>10</v>
      </c>
      <c r="D83" s="36" t="s">
        <v>219</v>
      </c>
      <c r="E83" s="31"/>
      <c r="F83" s="43">
        <f>F84+F85</f>
        <v>2727203.95</v>
      </c>
      <c r="G83" s="43">
        <f>G84+G85</f>
        <v>0</v>
      </c>
      <c r="H83" s="43">
        <f>H84+H85</f>
        <v>2727203.95</v>
      </c>
      <c r="I83" s="43">
        <f>I84+I85</f>
        <v>510518.9</v>
      </c>
      <c r="J83" s="43">
        <f>J84+J85</f>
        <v>3237722.85</v>
      </c>
      <c r="K83" s="43">
        <f t="shared" ref="K83:N83" si="35">K84+K85</f>
        <v>2727203.95</v>
      </c>
      <c r="L83" s="43">
        <f>L84+L85</f>
        <v>2000000</v>
      </c>
      <c r="M83" s="43">
        <f>M84+M85</f>
        <v>4727203.95</v>
      </c>
      <c r="N83" s="43">
        <f t="shared" si="35"/>
        <v>2727203.95</v>
      </c>
      <c r="O83" s="43">
        <f>O84+O85</f>
        <v>2000000</v>
      </c>
      <c r="P83" s="43">
        <f>P84+P85</f>
        <v>4727203.95</v>
      </c>
      <c r="Q83" s="167"/>
      <c r="R83" s="167"/>
      <c r="S83" s="167"/>
    </row>
    <row r="84" spans="1:19" ht="30" x14ac:dyDescent="0.25">
      <c r="A84" s="96" t="s">
        <v>153</v>
      </c>
      <c r="B84" s="49" t="s">
        <v>155</v>
      </c>
      <c r="C84" s="49">
        <v>10</v>
      </c>
      <c r="D84" s="50" t="s">
        <v>219</v>
      </c>
      <c r="E84" s="49">
        <v>200</v>
      </c>
      <c r="F84" s="51">
        <v>2727203.95</v>
      </c>
      <c r="G84" s="51">
        <v>0</v>
      </c>
      <c r="H84" s="38">
        <f>F84+G84</f>
        <v>2727203.95</v>
      </c>
      <c r="I84" s="51">
        <f>-39481.1+550000</f>
        <v>510518.9</v>
      </c>
      <c r="J84" s="38">
        <f>H84+I84</f>
        <v>3237722.85</v>
      </c>
      <c r="K84" s="51">
        <v>2727203.95</v>
      </c>
      <c r="L84" s="51">
        <v>2000000</v>
      </c>
      <c r="M84" s="38">
        <f>K84+L84</f>
        <v>4727203.95</v>
      </c>
      <c r="N84" s="51">
        <v>2727203.95</v>
      </c>
      <c r="O84" s="51">
        <v>2000000</v>
      </c>
      <c r="P84" s="38">
        <f>N84+O84</f>
        <v>4727203.95</v>
      </c>
    </row>
    <row r="85" spans="1:19" ht="15.75" customHeight="1" x14ac:dyDescent="0.25">
      <c r="A85" s="52" t="s">
        <v>220</v>
      </c>
      <c r="B85" s="49" t="s">
        <v>155</v>
      </c>
      <c r="C85" s="49">
        <v>10</v>
      </c>
      <c r="D85" s="50" t="s">
        <v>219</v>
      </c>
      <c r="E85" s="49">
        <v>300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</row>
    <row r="86" spans="1:19" ht="25.5" x14ac:dyDescent="0.25">
      <c r="A86" s="30" t="s">
        <v>221</v>
      </c>
      <c r="B86" s="31" t="s">
        <v>155</v>
      </c>
      <c r="C86" s="31" t="s">
        <v>222</v>
      </c>
      <c r="D86" s="32" t="s">
        <v>0</v>
      </c>
      <c r="E86" s="31" t="s">
        <v>0</v>
      </c>
      <c r="F86" s="33">
        <f t="shared" ref="F86:P87" si="36">F87</f>
        <v>1901382.2000000002</v>
      </c>
      <c r="G86" s="33">
        <f t="shared" si="36"/>
        <v>77798.100000000006</v>
      </c>
      <c r="H86" s="33">
        <f t="shared" si="36"/>
        <v>1979180.3</v>
      </c>
      <c r="I86" s="33">
        <f t="shared" si="36"/>
        <v>-510518.9</v>
      </c>
      <c r="J86" s="33">
        <f t="shared" si="36"/>
        <v>1468661.4</v>
      </c>
      <c r="K86" s="33">
        <f t="shared" si="36"/>
        <v>1901382.2000000002</v>
      </c>
      <c r="L86" s="33">
        <f t="shared" si="36"/>
        <v>0</v>
      </c>
      <c r="M86" s="33">
        <f t="shared" si="36"/>
        <v>1901382.2000000002</v>
      </c>
      <c r="N86" s="33">
        <f t="shared" si="36"/>
        <v>1206382.2000000002</v>
      </c>
      <c r="O86" s="33">
        <f t="shared" si="36"/>
        <v>0</v>
      </c>
      <c r="P86" s="33">
        <f t="shared" si="36"/>
        <v>1206382.2000000002</v>
      </c>
    </row>
    <row r="87" spans="1:19" x14ac:dyDescent="0.25">
      <c r="A87" s="53" t="s">
        <v>223</v>
      </c>
      <c r="B87" s="54" t="s">
        <v>155</v>
      </c>
      <c r="C87" s="54" t="s">
        <v>222</v>
      </c>
      <c r="D87" s="55" t="s">
        <v>224</v>
      </c>
      <c r="E87" s="56"/>
      <c r="F87" s="42">
        <f t="shared" si="36"/>
        <v>1901382.2000000002</v>
      </c>
      <c r="G87" s="42">
        <f t="shared" si="36"/>
        <v>77798.100000000006</v>
      </c>
      <c r="H87" s="42">
        <f t="shared" si="36"/>
        <v>1979180.3</v>
      </c>
      <c r="I87" s="42">
        <f t="shared" si="36"/>
        <v>-510518.9</v>
      </c>
      <c r="J87" s="42">
        <f t="shared" si="36"/>
        <v>1468661.4</v>
      </c>
      <c r="K87" s="42">
        <f t="shared" si="36"/>
        <v>1901382.2000000002</v>
      </c>
      <c r="L87" s="42">
        <f t="shared" si="36"/>
        <v>0</v>
      </c>
      <c r="M87" s="42">
        <f t="shared" si="36"/>
        <v>1901382.2000000002</v>
      </c>
      <c r="N87" s="42">
        <f t="shared" si="36"/>
        <v>1206382.2000000002</v>
      </c>
      <c r="O87" s="42">
        <f t="shared" si="36"/>
        <v>0</v>
      </c>
      <c r="P87" s="42">
        <f t="shared" si="36"/>
        <v>1206382.2000000002</v>
      </c>
    </row>
    <row r="88" spans="1:19" x14ac:dyDescent="0.25">
      <c r="A88" s="53" t="s">
        <v>165</v>
      </c>
      <c r="B88" s="54" t="s">
        <v>155</v>
      </c>
      <c r="C88" s="54" t="s">
        <v>222</v>
      </c>
      <c r="D88" s="55" t="s">
        <v>225</v>
      </c>
      <c r="E88" s="56"/>
      <c r="F88" s="42">
        <f>F89+F91+F94</f>
        <v>1901382.2000000002</v>
      </c>
      <c r="G88" s="42">
        <f>G89+G91+G94</f>
        <v>77798.100000000006</v>
      </c>
      <c r="H88" s="42">
        <f>H89+H91+H94</f>
        <v>1979180.3</v>
      </c>
      <c r="I88" s="42">
        <f>I89+I91+I94</f>
        <v>-510518.9</v>
      </c>
      <c r="J88" s="42">
        <f>J89+J91+J94</f>
        <v>1468661.4</v>
      </c>
      <c r="K88" s="42">
        <f t="shared" ref="K88:N88" si="37">K89+K91+K94</f>
        <v>1901382.2000000002</v>
      </c>
      <c r="L88" s="42">
        <f>L89+L91+L94</f>
        <v>0</v>
      </c>
      <c r="M88" s="42">
        <f>M89+M91+M94</f>
        <v>1901382.2000000002</v>
      </c>
      <c r="N88" s="42">
        <f t="shared" si="37"/>
        <v>1206382.2000000002</v>
      </c>
      <c r="O88" s="42">
        <f>O89+O91+O94</f>
        <v>0</v>
      </c>
      <c r="P88" s="42">
        <f>P89+P91+P94</f>
        <v>1206382.2000000002</v>
      </c>
    </row>
    <row r="89" spans="1:19" x14ac:dyDescent="0.25">
      <c r="A89" s="57" t="s">
        <v>226</v>
      </c>
      <c r="B89" s="58" t="s">
        <v>155</v>
      </c>
      <c r="C89" s="58" t="s">
        <v>222</v>
      </c>
      <c r="D89" s="46" t="s">
        <v>227</v>
      </c>
      <c r="E89" s="54"/>
      <c r="F89" s="43">
        <f>F90</f>
        <v>695000</v>
      </c>
      <c r="G89" s="43">
        <f>G90</f>
        <v>41000</v>
      </c>
      <c r="H89" s="43">
        <f>H90</f>
        <v>736000</v>
      </c>
      <c r="I89" s="43">
        <f>I90</f>
        <v>0</v>
      </c>
      <c r="J89" s="43">
        <f>J90</f>
        <v>736000</v>
      </c>
      <c r="K89" s="43">
        <f t="shared" ref="K89:N89" si="38">K90</f>
        <v>695000</v>
      </c>
      <c r="L89" s="43">
        <f>L90</f>
        <v>0</v>
      </c>
      <c r="M89" s="43">
        <f>M90</f>
        <v>695000</v>
      </c>
      <c r="N89" s="43">
        <f t="shared" si="38"/>
        <v>0</v>
      </c>
      <c r="O89" s="43">
        <f>O90</f>
        <v>0</v>
      </c>
      <c r="P89" s="43">
        <f>P90</f>
        <v>0</v>
      </c>
    </row>
    <row r="90" spans="1:19" ht="30" x14ac:dyDescent="0.25">
      <c r="A90" s="96" t="s">
        <v>153</v>
      </c>
      <c r="B90" s="58" t="s">
        <v>155</v>
      </c>
      <c r="C90" s="58" t="s">
        <v>222</v>
      </c>
      <c r="D90" s="47" t="s">
        <v>227</v>
      </c>
      <c r="E90" s="56">
        <v>200</v>
      </c>
      <c r="F90" s="51">
        <v>695000</v>
      </c>
      <c r="G90" s="51">
        <v>41000</v>
      </c>
      <c r="H90" s="38">
        <f>F90+G90</f>
        <v>736000</v>
      </c>
      <c r="I90" s="51">
        <v>0</v>
      </c>
      <c r="J90" s="38">
        <f>H90+I90</f>
        <v>736000</v>
      </c>
      <c r="K90" s="51">
        <v>695000</v>
      </c>
      <c r="L90" s="51">
        <v>0</v>
      </c>
      <c r="M90" s="38">
        <f>K90+L90</f>
        <v>695000</v>
      </c>
      <c r="N90" s="51">
        <v>0</v>
      </c>
      <c r="O90" s="51">
        <v>0</v>
      </c>
      <c r="P90" s="38">
        <f>N90+O90</f>
        <v>0</v>
      </c>
    </row>
    <row r="91" spans="1:19" ht="27" x14ac:dyDescent="0.25">
      <c r="A91" s="57" t="s">
        <v>228</v>
      </c>
      <c r="B91" s="58" t="s">
        <v>155</v>
      </c>
      <c r="C91" s="58" t="s">
        <v>222</v>
      </c>
      <c r="D91" s="46" t="s">
        <v>229</v>
      </c>
      <c r="E91" s="58"/>
      <c r="F91" s="43">
        <f>F92+F93</f>
        <v>829479.20000000007</v>
      </c>
      <c r="G91" s="43">
        <f>G92+G93</f>
        <v>36798.1</v>
      </c>
      <c r="H91" s="43">
        <f>H92+H93</f>
        <v>866277.3</v>
      </c>
      <c r="I91" s="43">
        <f>I92+I93</f>
        <v>-250655.9</v>
      </c>
      <c r="J91" s="43">
        <f>J92+J93</f>
        <v>615621.4</v>
      </c>
      <c r="K91" s="43">
        <v>829479.20000000007</v>
      </c>
      <c r="L91" s="43">
        <f>L92+L93</f>
        <v>0</v>
      </c>
      <c r="M91" s="43">
        <f>M92+M93</f>
        <v>829479.20000000007</v>
      </c>
      <c r="N91" s="43">
        <v>829479.20000000007</v>
      </c>
      <c r="O91" s="43">
        <f>O92+O93</f>
        <v>0</v>
      </c>
      <c r="P91" s="43">
        <f>P92+P93</f>
        <v>829479.20000000007</v>
      </c>
    </row>
    <row r="92" spans="1:19" ht="30" x14ac:dyDescent="0.25">
      <c r="A92" s="96" t="s">
        <v>153</v>
      </c>
      <c r="B92" s="59" t="s">
        <v>155</v>
      </c>
      <c r="C92" s="59" t="s">
        <v>222</v>
      </c>
      <c r="D92" s="47" t="s">
        <v>229</v>
      </c>
      <c r="E92" s="56">
        <v>200</v>
      </c>
      <c r="F92" s="51">
        <v>729458.28</v>
      </c>
      <c r="G92" s="51">
        <v>36798.1</v>
      </c>
      <c r="H92" s="38">
        <f>F92+G92</f>
        <v>766256.38</v>
      </c>
      <c r="I92" s="51">
        <f>-157500-60000</f>
        <v>-217500</v>
      </c>
      <c r="J92" s="38">
        <f>H92+I92</f>
        <v>548756.38</v>
      </c>
      <c r="K92" s="51">
        <v>729458.28</v>
      </c>
      <c r="L92" s="51">
        <v>0</v>
      </c>
      <c r="M92" s="38">
        <f>K92+L92</f>
        <v>729458.28</v>
      </c>
      <c r="N92" s="51">
        <v>729458.28</v>
      </c>
      <c r="O92" s="51">
        <v>0</v>
      </c>
      <c r="P92" s="38">
        <f>N92+O92</f>
        <v>729458.28</v>
      </c>
    </row>
    <row r="93" spans="1:19" ht="15.75" customHeight="1" x14ac:dyDescent="0.25">
      <c r="A93" s="52" t="s">
        <v>220</v>
      </c>
      <c r="B93" s="59" t="s">
        <v>155</v>
      </c>
      <c r="C93" s="59" t="s">
        <v>222</v>
      </c>
      <c r="D93" s="47" t="s">
        <v>229</v>
      </c>
      <c r="E93" s="56">
        <v>300</v>
      </c>
      <c r="F93" s="51">
        <v>100020.92</v>
      </c>
      <c r="G93" s="51">
        <v>0</v>
      </c>
      <c r="H93" s="38">
        <f>F93+G93</f>
        <v>100020.92</v>
      </c>
      <c r="I93" s="51">
        <v>-33155.9</v>
      </c>
      <c r="J93" s="38">
        <f>H93+I93</f>
        <v>66865.01999999999</v>
      </c>
      <c r="K93" s="51">
        <v>100020.92</v>
      </c>
      <c r="L93" s="51">
        <v>0</v>
      </c>
      <c r="M93" s="38">
        <f>K93+L93</f>
        <v>100020.92</v>
      </c>
      <c r="N93" s="51">
        <v>100020.92</v>
      </c>
      <c r="O93" s="51">
        <v>0</v>
      </c>
      <c r="P93" s="38">
        <f>N93+O93</f>
        <v>100020.92</v>
      </c>
    </row>
    <row r="94" spans="1:19" ht="27" x14ac:dyDescent="0.25">
      <c r="A94" s="57" t="s">
        <v>230</v>
      </c>
      <c r="B94" s="58" t="s">
        <v>155</v>
      </c>
      <c r="C94" s="58" t="s">
        <v>222</v>
      </c>
      <c r="D94" s="46" t="s">
        <v>231</v>
      </c>
      <c r="E94" s="59"/>
      <c r="F94" s="43">
        <f>F95+F96</f>
        <v>376903</v>
      </c>
      <c r="G94" s="43">
        <f t="shared" ref="G94:P94" si="39">G95+G96</f>
        <v>0</v>
      </c>
      <c r="H94" s="43">
        <f>H95+H96</f>
        <v>376903</v>
      </c>
      <c r="I94" s="43">
        <f t="shared" si="39"/>
        <v>-259863</v>
      </c>
      <c r="J94" s="43">
        <f t="shared" si="39"/>
        <v>117040</v>
      </c>
      <c r="K94" s="43">
        <f t="shared" si="39"/>
        <v>376903</v>
      </c>
      <c r="L94" s="43">
        <f t="shared" si="39"/>
        <v>0</v>
      </c>
      <c r="M94" s="43">
        <f t="shared" si="39"/>
        <v>376903</v>
      </c>
      <c r="N94" s="43">
        <f t="shared" si="39"/>
        <v>376903</v>
      </c>
      <c r="O94" s="43">
        <f t="shared" si="39"/>
        <v>0</v>
      </c>
      <c r="P94" s="43">
        <f t="shared" si="39"/>
        <v>376903</v>
      </c>
    </row>
    <row r="95" spans="1:19" x14ac:dyDescent="0.25">
      <c r="A95" s="96" t="s">
        <v>151</v>
      </c>
      <c r="B95" s="56" t="s">
        <v>155</v>
      </c>
      <c r="C95" s="56" t="s">
        <v>222</v>
      </c>
      <c r="D95" s="47" t="s">
        <v>231</v>
      </c>
      <c r="E95" s="97" t="s">
        <v>152</v>
      </c>
      <c r="F95" s="99">
        <v>0</v>
      </c>
      <c r="G95" s="100">
        <v>0</v>
      </c>
      <c r="H95" s="38">
        <f>F95+G95</f>
        <v>0</v>
      </c>
      <c r="I95" s="100">
        <v>117040</v>
      </c>
      <c r="J95" s="38">
        <f>H95+I95</f>
        <v>117040</v>
      </c>
      <c r="K95" s="99">
        <v>0</v>
      </c>
      <c r="L95" s="100">
        <v>0</v>
      </c>
      <c r="M95" s="38">
        <f>K95+L95</f>
        <v>0</v>
      </c>
      <c r="N95" s="99">
        <v>0</v>
      </c>
      <c r="O95" s="100">
        <v>0</v>
      </c>
      <c r="P95" s="38">
        <f>N95+O95</f>
        <v>0</v>
      </c>
    </row>
    <row r="96" spans="1:19" ht="30" x14ac:dyDescent="0.25">
      <c r="A96" s="96" t="s">
        <v>153</v>
      </c>
      <c r="B96" s="56" t="s">
        <v>155</v>
      </c>
      <c r="C96" s="56" t="s">
        <v>222</v>
      </c>
      <c r="D96" s="47" t="s">
        <v>231</v>
      </c>
      <c r="E96" s="56">
        <v>200</v>
      </c>
      <c r="F96" s="51">
        <v>376903</v>
      </c>
      <c r="G96" s="51">
        <v>0</v>
      </c>
      <c r="H96" s="38">
        <f>F96+G96</f>
        <v>376903</v>
      </c>
      <c r="I96" s="51">
        <f>-104000-13040-259863</f>
        <v>-376903</v>
      </c>
      <c r="J96" s="38">
        <f>H96+I96</f>
        <v>0</v>
      </c>
      <c r="K96" s="51">
        <v>376903</v>
      </c>
      <c r="L96" s="51">
        <v>0</v>
      </c>
      <c r="M96" s="38">
        <f>K96+L96</f>
        <v>376903</v>
      </c>
      <c r="N96" s="51">
        <v>376903</v>
      </c>
      <c r="O96" s="51">
        <v>0</v>
      </c>
      <c r="P96" s="38">
        <f>N96+O96</f>
        <v>376903</v>
      </c>
    </row>
    <row r="97" spans="1:16" ht="12.75" customHeight="1" x14ac:dyDescent="0.25">
      <c r="A97" s="52" t="s">
        <v>220</v>
      </c>
      <c r="B97" s="56" t="s">
        <v>155</v>
      </c>
      <c r="C97" s="56" t="s">
        <v>222</v>
      </c>
      <c r="D97" s="47" t="s">
        <v>231</v>
      </c>
      <c r="E97" s="56">
        <v>300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</row>
    <row r="98" spans="1:16" x14ac:dyDescent="0.25">
      <c r="A98" s="30" t="s">
        <v>232</v>
      </c>
      <c r="B98" s="31" t="s">
        <v>162</v>
      </c>
      <c r="C98" s="31" t="s">
        <v>0</v>
      </c>
      <c r="D98" s="32" t="s">
        <v>0</v>
      </c>
      <c r="E98" s="31" t="s">
        <v>0</v>
      </c>
      <c r="F98" s="33">
        <f t="shared" ref="F98:P98" si="40">F104+F99+F109+F119</f>
        <v>126831694.26000002</v>
      </c>
      <c r="G98" s="33">
        <f t="shared" si="40"/>
        <v>41695668.399999999</v>
      </c>
      <c r="H98" s="33">
        <f t="shared" si="40"/>
        <v>168527362.66</v>
      </c>
      <c r="I98" s="33">
        <f t="shared" si="40"/>
        <v>19908367.710000001</v>
      </c>
      <c r="J98" s="33">
        <f t="shared" si="40"/>
        <v>188435730.37</v>
      </c>
      <c r="K98" s="33">
        <f t="shared" si="40"/>
        <v>109594252.93000001</v>
      </c>
      <c r="L98" s="33">
        <f t="shared" si="40"/>
        <v>0</v>
      </c>
      <c r="M98" s="33">
        <f t="shared" si="40"/>
        <v>109594252.93000001</v>
      </c>
      <c r="N98" s="33">
        <f t="shared" si="40"/>
        <v>110149279.93000001</v>
      </c>
      <c r="O98" s="33">
        <f t="shared" si="40"/>
        <v>0</v>
      </c>
      <c r="P98" s="33">
        <f t="shared" si="40"/>
        <v>110149279.93000001</v>
      </c>
    </row>
    <row r="99" spans="1:16" x14ac:dyDescent="0.25">
      <c r="A99" s="30" t="s">
        <v>233</v>
      </c>
      <c r="B99" s="31" t="s">
        <v>162</v>
      </c>
      <c r="C99" s="31" t="s">
        <v>234</v>
      </c>
      <c r="D99" s="32" t="s">
        <v>0</v>
      </c>
      <c r="E99" s="31" t="s">
        <v>0</v>
      </c>
      <c r="F99" s="33">
        <f t="shared" ref="F99:P100" si="41">F100</f>
        <v>1174817.73</v>
      </c>
      <c r="G99" s="33">
        <f t="shared" si="41"/>
        <v>0</v>
      </c>
      <c r="H99" s="33">
        <f t="shared" si="41"/>
        <v>1174817.73</v>
      </c>
      <c r="I99" s="33">
        <f t="shared" si="41"/>
        <v>2078625.74</v>
      </c>
      <c r="J99" s="33">
        <f t="shared" si="41"/>
        <v>3253443.4699999997</v>
      </c>
      <c r="K99" s="33">
        <f t="shared" si="41"/>
        <v>0</v>
      </c>
      <c r="L99" s="33">
        <f t="shared" si="41"/>
        <v>0</v>
      </c>
      <c r="M99" s="33">
        <f t="shared" si="41"/>
        <v>0</v>
      </c>
      <c r="N99" s="33">
        <f t="shared" si="41"/>
        <v>0</v>
      </c>
      <c r="O99" s="33">
        <f t="shared" si="41"/>
        <v>0</v>
      </c>
      <c r="P99" s="33">
        <f t="shared" si="41"/>
        <v>0</v>
      </c>
    </row>
    <row r="100" spans="1:16" ht="25.5" x14ac:dyDescent="0.25">
      <c r="A100" s="30" t="s">
        <v>235</v>
      </c>
      <c r="B100" s="31" t="s">
        <v>162</v>
      </c>
      <c r="C100" s="31" t="s">
        <v>234</v>
      </c>
      <c r="D100" s="32" t="s">
        <v>236</v>
      </c>
      <c r="E100" s="31" t="s">
        <v>0</v>
      </c>
      <c r="F100" s="42">
        <f>F101</f>
        <v>1174817.73</v>
      </c>
      <c r="G100" s="42">
        <f>G101</f>
        <v>0</v>
      </c>
      <c r="H100" s="42">
        <f>H101</f>
        <v>1174817.73</v>
      </c>
      <c r="I100" s="42">
        <f>I101</f>
        <v>2078625.74</v>
      </c>
      <c r="J100" s="42">
        <f>J101</f>
        <v>3253443.4699999997</v>
      </c>
      <c r="K100" s="42">
        <f t="shared" si="41"/>
        <v>0</v>
      </c>
      <c r="L100" s="42">
        <f>L101</f>
        <v>0</v>
      </c>
      <c r="M100" s="42">
        <f>M101</f>
        <v>0</v>
      </c>
      <c r="N100" s="42">
        <f t="shared" si="41"/>
        <v>0</v>
      </c>
      <c r="O100" s="42">
        <f>O101</f>
        <v>0</v>
      </c>
      <c r="P100" s="42">
        <f>P101</f>
        <v>0</v>
      </c>
    </row>
    <row r="101" spans="1:16" x14ac:dyDescent="0.25">
      <c r="A101" s="30" t="s">
        <v>165</v>
      </c>
      <c r="B101" s="31" t="s">
        <v>162</v>
      </c>
      <c r="C101" s="31" t="s">
        <v>234</v>
      </c>
      <c r="D101" s="32" t="s">
        <v>237</v>
      </c>
      <c r="E101" s="31" t="s">
        <v>0</v>
      </c>
      <c r="F101" s="42">
        <f t="shared" ref="F101:P102" si="42">F102</f>
        <v>1174817.73</v>
      </c>
      <c r="G101" s="42">
        <f t="shared" si="42"/>
        <v>0</v>
      </c>
      <c r="H101" s="42">
        <f t="shared" si="42"/>
        <v>1174817.73</v>
      </c>
      <c r="I101" s="42">
        <f t="shared" si="42"/>
        <v>2078625.74</v>
      </c>
      <c r="J101" s="42">
        <f t="shared" si="42"/>
        <v>3253443.4699999997</v>
      </c>
      <c r="K101" s="42">
        <f t="shared" si="42"/>
        <v>0</v>
      </c>
      <c r="L101" s="42">
        <f t="shared" si="42"/>
        <v>0</v>
      </c>
      <c r="M101" s="42">
        <f t="shared" si="42"/>
        <v>0</v>
      </c>
      <c r="N101" s="42">
        <f t="shared" si="42"/>
        <v>0</v>
      </c>
      <c r="O101" s="42">
        <f t="shared" si="42"/>
        <v>0</v>
      </c>
      <c r="P101" s="42">
        <f t="shared" si="42"/>
        <v>0</v>
      </c>
    </row>
    <row r="102" spans="1:16" ht="27" x14ac:dyDescent="0.25">
      <c r="A102" s="34" t="s">
        <v>432</v>
      </c>
      <c r="B102" s="35" t="s">
        <v>162</v>
      </c>
      <c r="C102" s="35" t="s">
        <v>234</v>
      </c>
      <c r="D102" s="36" t="s">
        <v>238</v>
      </c>
      <c r="E102" s="35" t="s">
        <v>0</v>
      </c>
      <c r="F102" s="43">
        <f t="shared" si="42"/>
        <v>1174817.73</v>
      </c>
      <c r="G102" s="43">
        <f t="shared" si="42"/>
        <v>0</v>
      </c>
      <c r="H102" s="43">
        <f t="shared" si="42"/>
        <v>1174817.73</v>
      </c>
      <c r="I102" s="43">
        <f t="shared" si="42"/>
        <v>2078625.74</v>
      </c>
      <c r="J102" s="43">
        <f t="shared" si="42"/>
        <v>3253443.4699999997</v>
      </c>
      <c r="K102" s="43">
        <f t="shared" si="42"/>
        <v>0</v>
      </c>
      <c r="L102" s="43">
        <f t="shared" si="42"/>
        <v>0</v>
      </c>
      <c r="M102" s="43">
        <f t="shared" si="42"/>
        <v>0</v>
      </c>
      <c r="N102" s="43">
        <f t="shared" si="42"/>
        <v>0</v>
      </c>
      <c r="O102" s="43">
        <f t="shared" si="42"/>
        <v>0</v>
      </c>
      <c r="P102" s="43">
        <f t="shared" si="42"/>
        <v>0</v>
      </c>
    </row>
    <row r="103" spans="1:16" ht="30" x14ac:dyDescent="0.25">
      <c r="A103" s="96" t="s">
        <v>153</v>
      </c>
      <c r="B103" s="97" t="s">
        <v>162</v>
      </c>
      <c r="C103" s="97" t="s">
        <v>234</v>
      </c>
      <c r="D103" s="98" t="s">
        <v>238</v>
      </c>
      <c r="E103" s="97" t="s">
        <v>158</v>
      </c>
      <c r="F103" s="103">
        <v>1174817.73</v>
      </c>
      <c r="G103" s="103">
        <v>0</v>
      </c>
      <c r="H103" s="38">
        <f>F103+G103</f>
        <v>1174817.73</v>
      </c>
      <c r="I103" s="103">
        <v>2078625.74</v>
      </c>
      <c r="J103" s="38">
        <f>H103+I103</f>
        <v>3253443.4699999997</v>
      </c>
      <c r="K103" s="103">
        <v>0</v>
      </c>
      <c r="L103" s="103">
        <v>0</v>
      </c>
      <c r="M103" s="38">
        <f>K103+L103</f>
        <v>0</v>
      </c>
      <c r="N103" s="103">
        <v>0</v>
      </c>
      <c r="O103" s="103">
        <v>0</v>
      </c>
      <c r="P103" s="38">
        <f>N103+O103</f>
        <v>0</v>
      </c>
    </row>
    <row r="104" spans="1:16" x14ac:dyDescent="0.25">
      <c r="A104" s="30" t="s">
        <v>239</v>
      </c>
      <c r="B104" s="31" t="s">
        <v>162</v>
      </c>
      <c r="C104" s="31" t="s">
        <v>240</v>
      </c>
      <c r="D104" s="32" t="s">
        <v>0</v>
      </c>
      <c r="E104" s="31" t="s">
        <v>0</v>
      </c>
      <c r="F104" s="42">
        <f t="shared" ref="F104:P107" si="43">F105</f>
        <v>25000000</v>
      </c>
      <c r="G104" s="42">
        <f t="shared" si="43"/>
        <v>1411103.65</v>
      </c>
      <c r="H104" s="42">
        <f t="shared" si="43"/>
        <v>26411103.649999999</v>
      </c>
      <c r="I104" s="42">
        <f t="shared" si="43"/>
        <v>21415</v>
      </c>
      <c r="J104" s="42">
        <f t="shared" si="43"/>
        <v>26432518.649999999</v>
      </c>
      <c r="K104" s="33">
        <f t="shared" si="43"/>
        <v>26550000</v>
      </c>
      <c r="L104" s="42">
        <f t="shared" si="43"/>
        <v>0</v>
      </c>
      <c r="M104" s="42">
        <f t="shared" si="43"/>
        <v>26550000</v>
      </c>
      <c r="N104" s="33">
        <f t="shared" si="43"/>
        <v>27612000</v>
      </c>
      <c r="O104" s="42">
        <f t="shared" si="43"/>
        <v>0</v>
      </c>
      <c r="P104" s="42">
        <f t="shared" si="43"/>
        <v>27612000</v>
      </c>
    </row>
    <row r="105" spans="1:16" x14ac:dyDescent="0.25">
      <c r="A105" s="30" t="s">
        <v>145</v>
      </c>
      <c r="B105" s="31" t="s">
        <v>162</v>
      </c>
      <c r="C105" s="31" t="s">
        <v>240</v>
      </c>
      <c r="D105" s="32" t="s">
        <v>146</v>
      </c>
      <c r="E105" s="31" t="s">
        <v>0</v>
      </c>
      <c r="F105" s="42">
        <f t="shared" si="43"/>
        <v>25000000</v>
      </c>
      <c r="G105" s="42">
        <f t="shared" si="43"/>
        <v>1411103.65</v>
      </c>
      <c r="H105" s="42">
        <f t="shared" si="43"/>
        <v>26411103.649999999</v>
      </c>
      <c r="I105" s="42">
        <f t="shared" si="43"/>
        <v>21415</v>
      </c>
      <c r="J105" s="42">
        <f t="shared" si="43"/>
        <v>26432518.649999999</v>
      </c>
      <c r="K105" s="33">
        <f t="shared" si="43"/>
        <v>26550000</v>
      </c>
      <c r="L105" s="42">
        <f t="shared" si="43"/>
        <v>0</v>
      </c>
      <c r="M105" s="42">
        <f t="shared" si="43"/>
        <v>26550000</v>
      </c>
      <c r="N105" s="33">
        <f t="shared" si="43"/>
        <v>27612000</v>
      </c>
      <c r="O105" s="42">
        <f t="shared" si="43"/>
        <v>0</v>
      </c>
      <c r="P105" s="42">
        <f t="shared" si="43"/>
        <v>27612000</v>
      </c>
    </row>
    <row r="106" spans="1:16" x14ac:dyDescent="0.25">
      <c r="A106" s="30" t="s">
        <v>180</v>
      </c>
      <c r="B106" s="31" t="s">
        <v>162</v>
      </c>
      <c r="C106" s="31" t="s">
        <v>240</v>
      </c>
      <c r="D106" s="32" t="s">
        <v>181</v>
      </c>
      <c r="E106" s="31" t="s">
        <v>0</v>
      </c>
      <c r="F106" s="42">
        <f t="shared" si="43"/>
        <v>25000000</v>
      </c>
      <c r="G106" s="42">
        <f t="shared" si="43"/>
        <v>1411103.65</v>
      </c>
      <c r="H106" s="42">
        <f t="shared" si="43"/>
        <v>26411103.649999999</v>
      </c>
      <c r="I106" s="42">
        <f t="shared" si="43"/>
        <v>21415</v>
      </c>
      <c r="J106" s="42">
        <f t="shared" si="43"/>
        <v>26432518.649999999</v>
      </c>
      <c r="K106" s="33">
        <f t="shared" si="43"/>
        <v>26550000</v>
      </c>
      <c r="L106" s="42">
        <f t="shared" si="43"/>
        <v>0</v>
      </c>
      <c r="M106" s="42">
        <f t="shared" si="43"/>
        <v>26550000</v>
      </c>
      <c r="N106" s="33">
        <f t="shared" si="43"/>
        <v>27612000</v>
      </c>
      <c r="O106" s="42">
        <f t="shared" si="43"/>
        <v>0</v>
      </c>
      <c r="P106" s="42">
        <f t="shared" si="43"/>
        <v>27612000</v>
      </c>
    </row>
    <row r="107" spans="1:16" x14ac:dyDescent="0.25">
      <c r="A107" s="34" t="s">
        <v>241</v>
      </c>
      <c r="B107" s="35" t="s">
        <v>162</v>
      </c>
      <c r="C107" s="35" t="s">
        <v>240</v>
      </c>
      <c r="D107" s="36" t="s">
        <v>242</v>
      </c>
      <c r="E107" s="35" t="s">
        <v>0</v>
      </c>
      <c r="F107" s="43">
        <f t="shared" si="43"/>
        <v>25000000</v>
      </c>
      <c r="G107" s="43">
        <f t="shared" si="43"/>
        <v>1411103.65</v>
      </c>
      <c r="H107" s="43">
        <f t="shared" si="43"/>
        <v>26411103.649999999</v>
      </c>
      <c r="I107" s="43">
        <f t="shared" si="43"/>
        <v>21415</v>
      </c>
      <c r="J107" s="43">
        <f t="shared" si="43"/>
        <v>26432518.649999999</v>
      </c>
      <c r="K107" s="37">
        <f t="shared" si="43"/>
        <v>26550000</v>
      </c>
      <c r="L107" s="43">
        <f t="shared" si="43"/>
        <v>0</v>
      </c>
      <c r="M107" s="43">
        <f t="shared" si="43"/>
        <v>26550000</v>
      </c>
      <c r="N107" s="37">
        <f t="shared" si="43"/>
        <v>27612000</v>
      </c>
      <c r="O107" s="43">
        <f t="shared" si="43"/>
        <v>0</v>
      </c>
      <c r="P107" s="43">
        <f t="shared" si="43"/>
        <v>27612000</v>
      </c>
    </row>
    <row r="108" spans="1:16" ht="30" x14ac:dyDescent="0.25">
      <c r="A108" s="96" t="s">
        <v>153</v>
      </c>
      <c r="B108" s="97" t="s">
        <v>162</v>
      </c>
      <c r="C108" s="97" t="s">
        <v>240</v>
      </c>
      <c r="D108" s="98" t="s">
        <v>242</v>
      </c>
      <c r="E108" s="97" t="s">
        <v>158</v>
      </c>
      <c r="F108" s="103">
        <v>25000000</v>
      </c>
      <c r="G108" s="103">
        <v>1411103.65</v>
      </c>
      <c r="H108" s="38">
        <f>F108+G108</f>
        <v>26411103.649999999</v>
      </c>
      <c r="I108" s="103">
        <v>21415</v>
      </c>
      <c r="J108" s="38">
        <f>H108+I108</f>
        <v>26432518.649999999</v>
      </c>
      <c r="K108" s="103">
        <v>26550000</v>
      </c>
      <c r="L108" s="103">
        <v>0</v>
      </c>
      <c r="M108" s="38">
        <f>K108+L108</f>
        <v>26550000</v>
      </c>
      <c r="N108" s="103">
        <v>27612000</v>
      </c>
      <c r="O108" s="103">
        <v>0</v>
      </c>
      <c r="P108" s="38">
        <f>N108+O108</f>
        <v>27612000</v>
      </c>
    </row>
    <row r="109" spans="1:16" x14ac:dyDescent="0.25">
      <c r="A109" s="30" t="s">
        <v>243</v>
      </c>
      <c r="B109" s="31" t="s">
        <v>162</v>
      </c>
      <c r="C109" s="31" t="s">
        <v>244</v>
      </c>
      <c r="D109" s="32" t="s">
        <v>0</v>
      </c>
      <c r="E109" s="31" t="s">
        <v>0</v>
      </c>
      <c r="F109" s="33">
        <f t="shared" ref="F109:P109" si="44">F110+F114</f>
        <v>98906193.530000016</v>
      </c>
      <c r="G109" s="33">
        <f t="shared" si="44"/>
        <v>40284564.75</v>
      </c>
      <c r="H109" s="33">
        <f t="shared" si="44"/>
        <v>139190758.28</v>
      </c>
      <c r="I109" s="33">
        <f t="shared" si="44"/>
        <v>16808326.969999999</v>
      </c>
      <c r="J109" s="33">
        <f t="shared" si="44"/>
        <v>155999085.25</v>
      </c>
      <c r="K109" s="33">
        <f t="shared" si="44"/>
        <v>80200859.930000007</v>
      </c>
      <c r="L109" s="33">
        <f t="shared" si="44"/>
        <v>0</v>
      </c>
      <c r="M109" s="33">
        <f t="shared" si="44"/>
        <v>80200859.930000007</v>
      </c>
      <c r="N109" s="33">
        <f t="shared" si="44"/>
        <v>80200859.930000007</v>
      </c>
      <c r="O109" s="33">
        <f t="shared" si="44"/>
        <v>0</v>
      </c>
      <c r="P109" s="33">
        <f t="shared" si="44"/>
        <v>80200859.930000007</v>
      </c>
    </row>
    <row r="110" spans="1:16" x14ac:dyDescent="0.25">
      <c r="A110" s="30" t="s">
        <v>245</v>
      </c>
      <c r="B110" s="31" t="s">
        <v>162</v>
      </c>
      <c r="C110" s="31" t="s">
        <v>244</v>
      </c>
      <c r="D110" s="32" t="s">
        <v>246</v>
      </c>
      <c r="E110" s="31" t="s">
        <v>0</v>
      </c>
      <c r="F110" s="33">
        <f t="shared" ref="F110:P112" si="45">F111</f>
        <v>6800223.1699999999</v>
      </c>
      <c r="G110" s="33">
        <f t="shared" si="45"/>
        <v>5000000</v>
      </c>
      <c r="H110" s="33">
        <f t="shared" si="45"/>
        <v>11800223.17</v>
      </c>
      <c r="I110" s="33">
        <f t="shared" si="45"/>
        <v>13081635.83</v>
      </c>
      <c r="J110" s="33">
        <f t="shared" si="45"/>
        <v>24881859</v>
      </c>
      <c r="K110" s="33">
        <f t="shared" si="45"/>
        <v>0</v>
      </c>
      <c r="L110" s="33">
        <f t="shared" si="45"/>
        <v>0</v>
      </c>
      <c r="M110" s="33">
        <f t="shared" si="45"/>
        <v>0</v>
      </c>
      <c r="N110" s="33">
        <f t="shared" si="45"/>
        <v>0</v>
      </c>
      <c r="O110" s="33">
        <f t="shared" si="45"/>
        <v>0</v>
      </c>
      <c r="P110" s="33">
        <f t="shared" si="45"/>
        <v>0</v>
      </c>
    </row>
    <row r="111" spans="1:16" x14ac:dyDescent="0.25">
      <c r="A111" s="30" t="s">
        <v>165</v>
      </c>
      <c r="B111" s="31" t="s">
        <v>162</v>
      </c>
      <c r="C111" s="31" t="s">
        <v>244</v>
      </c>
      <c r="D111" s="32" t="s">
        <v>247</v>
      </c>
      <c r="E111" s="31" t="s">
        <v>0</v>
      </c>
      <c r="F111" s="33">
        <f t="shared" si="45"/>
        <v>6800223.1699999999</v>
      </c>
      <c r="G111" s="33">
        <f t="shared" si="45"/>
        <v>5000000</v>
      </c>
      <c r="H111" s="33">
        <f t="shared" si="45"/>
        <v>11800223.17</v>
      </c>
      <c r="I111" s="33">
        <f t="shared" si="45"/>
        <v>13081635.83</v>
      </c>
      <c r="J111" s="33">
        <f t="shared" si="45"/>
        <v>24881859</v>
      </c>
      <c r="K111" s="33">
        <f t="shared" si="45"/>
        <v>0</v>
      </c>
      <c r="L111" s="33">
        <f t="shared" si="45"/>
        <v>0</v>
      </c>
      <c r="M111" s="33">
        <f t="shared" si="45"/>
        <v>0</v>
      </c>
      <c r="N111" s="33">
        <f t="shared" si="45"/>
        <v>0</v>
      </c>
      <c r="O111" s="33">
        <f t="shared" si="45"/>
        <v>0</v>
      </c>
      <c r="P111" s="33">
        <f t="shared" si="45"/>
        <v>0</v>
      </c>
    </row>
    <row r="112" spans="1:16" ht="27" x14ac:dyDescent="0.25">
      <c r="A112" s="34" t="s">
        <v>248</v>
      </c>
      <c r="B112" s="35" t="s">
        <v>162</v>
      </c>
      <c r="C112" s="35" t="s">
        <v>244</v>
      </c>
      <c r="D112" s="36" t="s">
        <v>249</v>
      </c>
      <c r="E112" s="35" t="s">
        <v>0</v>
      </c>
      <c r="F112" s="37">
        <f t="shared" si="45"/>
        <v>6800223.1699999999</v>
      </c>
      <c r="G112" s="37">
        <f t="shared" si="45"/>
        <v>5000000</v>
      </c>
      <c r="H112" s="37">
        <f t="shared" si="45"/>
        <v>11800223.17</v>
      </c>
      <c r="I112" s="37">
        <f t="shared" si="45"/>
        <v>13081635.83</v>
      </c>
      <c r="J112" s="37">
        <f t="shared" si="45"/>
        <v>24881859</v>
      </c>
      <c r="K112" s="37">
        <f t="shared" si="45"/>
        <v>0</v>
      </c>
      <c r="L112" s="37">
        <f t="shared" si="45"/>
        <v>0</v>
      </c>
      <c r="M112" s="37">
        <f t="shared" si="45"/>
        <v>0</v>
      </c>
      <c r="N112" s="37">
        <f t="shared" si="45"/>
        <v>0</v>
      </c>
      <c r="O112" s="37">
        <f t="shared" si="45"/>
        <v>0</v>
      </c>
      <c r="P112" s="37">
        <f t="shared" si="45"/>
        <v>0</v>
      </c>
    </row>
    <row r="113" spans="1:16" ht="30" x14ac:dyDescent="0.25">
      <c r="A113" s="96" t="s">
        <v>153</v>
      </c>
      <c r="B113" s="97" t="s">
        <v>162</v>
      </c>
      <c r="C113" s="97" t="s">
        <v>244</v>
      </c>
      <c r="D113" s="98" t="s">
        <v>249</v>
      </c>
      <c r="E113" s="97" t="s">
        <v>158</v>
      </c>
      <c r="F113" s="103">
        <v>6800223.1699999999</v>
      </c>
      <c r="G113" s="103">
        <v>5000000</v>
      </c>
      <c r="H113" s="38">
        <f>F113+G113</f>
        <v>11800223.17</v>
      </c>
      <c r="I113" s="103">
        <f>3572900+6211577.58+297158.25+3000000</f>
        <v>13081635.83</v>
      </c>
      <c r="J113" s="38">
        <f>H113+I113</f>
        <v>24881859</v>
      </c>
      <c r="K113" s="103">
        <v>0</v>
      </c>
      <c r="L113" s="103">
        <v>0</v>
      </c>
      <c r="M113" s="38">
        <f>K113+L113</f>
        <v>0</v>
      </c>
      <c r="N113" s="103">
        <v>0</v>
      </c>
      <c r="O113" s="103">
        <v>0</v>
      </c>
      <c r="P113" s="38">
        <f>N113+O113</f>
        <v>0</v>
      </c>
    </row>
    <row r="114" spans="1:16" x14ac:dyDescent="0.25">
      <c r="A114" s="30" t="s">
        <v>250</v>
      </c>
      <c r="B114" s="31" t="s">
        <v>162</v>
      </c>
      <c r="C114" s="31" t="s">
        <v>244</v>
      </c>
      <c r="D114" s="32" t="s">
        <v>251</v>
      </c>
      <c r="E114" s="31" t="s">
        <v>0</v>
      </c>
      <c r="F114" s="33">
        <f t="shared" ref="F114:P115" si="46">F115</f>
        <v>92105970.360000014</v>
      </c>
      <c r="G114" s="33">
        <f t="shared" si="46"/>
        <v>35284564.75</v>
      </c>
      <c r="H114" s="33">
        <f t="shared" si="46"/>
        <v>127390535.11000001</v>
      </c>
      <c r="I114" s="33">
        <f t="shared" si="46"/>
        <v>3726691.14</v>
      </c>
      <c r="J114" s="33">
        <f t="shared" si="46"/>
        <v>131117226.25</v>
      </c>
      <c r="K114" s="33">
        <f t="shared" si="46"/>
        <v>80200859.930000007</v>
      </c>
      <c r="L114" s="33">
        <f t="shared" si="46"/>
        <v>0</v>
      </c>
      <c r="M114" s="33">
        <f t="shared" si="46"/>
        <v>80200859.930000007</v>
      </c>
      <c r="N114" s="33">
        <f t="shared" si="46"/>
        <v>80200859.930000007</v>
      </c>
      <c r="O114" s="33">
        <f t="shared" si="46"/>
        <v>0</v>
      </c>
      <c r="P114" s="33">
        <f t="shared" si="46"/>
        <v>80200859.930000007</v>
      </c>
    </row>
    <row r="115" spans="1:16" x14ac:dyDescent="0.25">
      <c r="A115" s="30" t="s">
        <v>165</v>
      </c>
      <c r="B115" s="31" t="s">
        <v>162</v>
      </c>
      <c r="C115" s="31" t="s">
        <v>244</v>
      </c>
      <c r="D115" s="32" t="s">
        <v>252</v>
      </c>
      <c r="E115" s="31" t="s">
        <v>0</v>
      </c>
      <c r="F115" s="33">
        <f>F116</f>
        <v>92105970.360000014</v>
      </c>
      <c r="G115" s="33">
        <f>G116</f>
        <v>35284564.75</v>
      </c>
      <c r="H115" s="33">
        <f>H116</f>
        <v>127390535.11000001</v>
      </c>
      <c r="I115" s="33">
        <f>I116</f>
        <v>3726691.14</v>
      </c>
      <c r="J115" s="33">
        <f>J116</f>
        <v>131117226.25</v>
      </c>
      <c r="K115" s="33">
        <f t="shared" si="46"/>
        <v>80200859.930000007</v>
      </c>
      <c r="L115" s="33">
        <f>L116</f>
        <v>0</v>
      </c>
      <c r="M115" s="33">
        <f>M116</f>
        <v>80200859.930000007</v>
      </c>
      <c r="N115" s="33">
        <f t="shared" si="46"/>
        <v>80200859.930000007</v>
      </c>
      <c r="O115" s="33">
        <f>O116</f>
        <v>0</v>
      </c>
      <c r="P115" s="33">
        <f>P116</f>
        <v>80200859.930000007</v>
      </c>
    </row>
    <row r="116" spans="1:16" ht="27" x14ac:dyDescent="0.25">
      <c r="A116" s="34" t="s">
        <v>253</v>
      </c>
      <c r="B116" s="35" t="s">
        <v>162</v>
      </c>
      <c r="C116" s="35" t="s">
        <v>244</v>
      </c>
      <c r="D116" s="36" t="s">
        <v>254</v>
      </c>
      <c r="E116" s="35" t="s">
        <v>0</v>
      </c>
      <c r="F116" s="37">
        <f t="shared" ref="F116:P116" si="47">F117+F118</f>
        <v>92105970.360000014</v>
      </c>
      <c r="G116" s="37">
        <f t="shared" si="47"/>
        <v>35284564.75</v>
      </c>
      <c r="H116" s="37">
        <f>H117+H118</f>
        <v>127390535.11000001</v>
      </c>
      <c r="I116" s="37">
        <f t="shared" si="47"/>
        <v>3726691.14</v>
      </c>
      <c r="J116" s="37">
        <f t="shared" si="47"/>
        <v>131117226.25</v>
      </c>
      <c r="K116" s="37">
        <f t="shared" si="47"/>
        <v>80200859.930000007</v>
      </c>
      <c r="L116" s="37">
        <f t="shared" si="47"/>
        <v>0</v>
      </c>
      <c r="M116" s="37">
        <f t="shared" si="47"/>
        <v>80200859.930000007</v>
      </c>
      <c r="N116" s="37">
        <f t="shared" si="47"/>
        <v>80200859.930000007</v>
      </c>
      <c r="O116" s="37">
        <f t="shared" si="47"/>
        <v>0</v>
      </c>
      <c r="P116" s="37">
        <f t="shared" si="47"/>
        <v>80200859.930000007</v>
      </c>
    </row>
    <row r="117" spans="1:16" ht="30" x14ac:dyDescent="0.25">
      <c r="A117" s="96" t="s">
        <v>153</v>
      </c>
      <c r="B117" s="97" t="s">
        <v>162</v>
      </c>
      <c r="C117" s="97" t="s">
        <v>244</v>
      </c>
      <c r="D117" s="98" t="s">
        <v>254</v>
      </c>
      <c r="E117" s="97" t="s">
        <v>158</v>
      </c>
      <c r="F117" s="103">
        <v>92105970.360000014</v>
      </c>
      <c r="G117" s="44">
        <v>5299.52</v>
      </c>
      <c r="H117" s="38">
        <f>F117+G117</f>
        <v>92111269.88000001</v>
      </c>
      <c r="I117" s="44">
        <f>858360+88619.8+1301746.81+400000+359650.8+237928.8+480384.93</f>
        <v>3726691.14</v>
      </c>
      <c r="J117" s="38">
        <f>H117+I117</f>
        <v>95837961.020000011</v>
      </c>
      <c r="K117" s="106">
        <v>80200859.930000007</v>
      </c>
      <c r="L117" s="44">
        <v>0</v>
      </c>
      <c r="M117" s="38">
        <f>K117+L117</f>
        <v>80200859.930000007</v>
      </c>
      <c r="N117" s="1">
        <v>80200859.930000007</v>
      </c>
      <c r="O117" s="44">
        <v>0</v>
      </c>
      <c r="P117" s="38">
        <f>N117+O117</f>
        <v>80200859.930000007</v>
      </c>
    </row>
    <row r="118" spans="1:16" x14ac:dyDescent="0.25">
      <c r="A118" s="96" t="s">
        <v>169</v>
      </c>
      <c r="B118" s="97" t="s">
        <v>162</v>
      </c>
      <c r="C118" s="97" t="s">
        <v>244</v>
      </c>
      <c r="D118" s="98" t="s">
        <v>254</v>
      </c>
      <c r="E118" s="97" t="s">
        <v>171</v>
      </c>
      <c r="F118" s="99">
        <v>0</v>
      </c>
      <c r="G118" s="99">
        <v>35279265.229999997</v>
      </c>
      <c r="H118" s="38">
        <f>F118+G118</f>
        <v>35279265.229999997</v>
      </c>
      <c r="I118" s="99">
        <v>0</v>
      </c>
      <c r="J118" s="38">
        <f>H118+I118</f>
        <v>35279265.229999997</v>
      </c>
      <c r="K118" s="99">
        <v>0</v>
      </c>
      <c r="L118" s="99">
        <v>0</v>
      </c>
      <c r="M118" s="38">
        <f>K118+L118</f>
        <v>0</v>
      </c>
      <c r="N118" s="99">
        <v>0</v>
      </c>
      <c r="O118" s="99">
        <v>0</v>
      </c>
      <c r="P118" s="38">
        <f>N118+O118</f>
        <v>0</v>
      </c>
    </row>
    <row r="119" spans="1:16" ht="12.75" customHeight="1" x14ac:dyDescent="0.25">
      <c r="A119" s="60" t="s">
        <v>255</v>
      </c>
      <c r="B119" s="32" t="s">
        <v>162</v>
      </c>
      <c r="C119" s="32" t="s">
        <v>256</v>
      </c>
      <c r="D119" s="98"/>
      <c r="E119" s="97"/>
      <c r="F119" s="33">
        <f>F120+F124</f>
        <v>1750683</v>
      </c>
      <c r="G119" s="33">
        <f>G120+G124</f>
        <v>0</v>
      </c>
      <c r="H119" s="33">
        <f>H120+H124</f>
        <v>1750683</v>
      </c>
      <c r="I119" s="33">
        <f>I120+I124</f>
        <v>1000000</v>
      </c>
      <c r="J119" s="33">
        <f>J120+J124</f>
        <v>2750683</v>
      </c>
      <c r="K119" s="33">
        <f t="shared" ref="K119:N119" si="48">K120+K124</f>
        <v>2843393</v>
      </c>
      <c r="L119" s="33">
        <f>L120+L124</f>
        <v>0</v>
      </c>
      <c r="M119" s="33">
        <f>M120+M124</f>
        <v>2843393</v>
      </c>
      <c r="N119" s="33">
        <f t="shared" si="48"/>
        <v>2336420</v>
      </c>
      <c r="O119" s="33">
        <f>O120+O124</f>
        <v>0</v>
      </c>
      <c r="P119" s="33">
        <f>P120+P124</f>
        <v>2336420</v>
      </c>
    </row>
    <row r="120" spans="1:16" x14ac:dyDescent="0.25">
      <c r="A120" s="30" t="s">
        <v>257</v>
      </c>
      <c r="B120" s="31" t="s">
        <v>162</v>
      </c>
      <c r="C120" s="31" t="s">
        <v>256</v>
      </c>
      <c r="D120" s="32" t="s">
        <v>258</v>
      </c>
      <c r="E120" s="31" t="s">
        <v>0</v>
      </c>
      <c r="F120" s="33">
        <f t="shared" ref="F120:P122" si="49">F121</f>
        <v>1050683</v>
      </c>
      <c r="G120" s="33">
        <f t="shared" si="49"/>
        <v>0</v>
      </c>
      <c r="H120" s="33">
        <f t="shared" si="49"/>
        <v>1050683</v>
      </c>
      <c r="I120" s="33">
        <f t="shared" si="49"/>
        <v>1000000</v>
      </c>
      <c r="J120" s="33">
        <f t="shared" si="49"/>
        <v>2050683</v>
      </c>
      <c r="K120" s="33">
        <f t="shared" si="49"/>
        <v>2143393</v>
      </c>
      <c r="L120" s="33">
        <f t="shared" si="49"/>
        <v>0</v>
      </c>
      <c r="M120" s="33">
        <f t="shared" si="49"/>
        <v>2143393</v>
      </c>
      <c r="N120" s="33">
        <f t="shared" si="49"/>
        <v>1636420</v>
      </c>
      <c r="O120" s="33">
        <f t="shared" si="49"/>
        <v>0</v>
      </c>
      <c r="P120" s="33">
        <f t="shared" si="49"/>
        <v>1636420</v>
      </c>
    </row>
    <row r="121" spans="1:16" x14ac:dyDescent="0.25">
      <c r="A121" s="30" t="s">
        <v>165</v>
      </c>
      <c r="B121" s="31" t="s">
        <v>162</v>
      </c>
      <c r="C121" s="31" t="s">
        <v>256</v>
      </c>
      <c r="D121" s="32" t="s">
        <v>259</v>
      </c>
      <c r="E121" s="31" t="s">
        <v>0</v>
      </c>
      <c r="F121" s="33">
        <f t="shared" si="49"/>
        <v>1050683</v>
      </c>
      <c r="G121" s="33">
        <f t="shared" si="49"/>
        <v>0</v>
      </c>
      <c r="H121" s="33">
        <f t="shared" si="49"/>
        <v>1050683</v>
      </c>
      <c r="I121" s="33">
        <f t="shared" si="49"/>
        <v>1000000</v>
      </c>
      <c r="J121" s="33">
        <f t="shared" si="49"/>
        <v>2050683</v>
      </c>
      <c r="K121" s="33">
        <f t="shared" si="49"/>
        <v>2143393</v>
      </c>
      <c r="L121" s="33">
        <f t="shared" si="49"/>
        <v>0</v>
      </c>
      <c r="M121" s="33">
        <f t="shared" si="49"/>
        <v>2143393</v>
      </c>
      <c r="N121" s="33">
        <f t="shared" si="49"/>
        <v>1636420</v>
      </c>
      <c r="O121" s="33">
        <f t="shared" si="49"/>
        <v>0</v>
      </c>
      <c r="P121" s="33">
        <f t="shared" si="49"/>
        <v>1636420</v>
      </c>
    </row>
    <row r="122" spans="1:16" ht="27" x14ac:dyDescent="0.25">
      <c r="A122" s="34" t="s">
        <v>260</v>
      </c>
      <c r="B122" s="35" t="s">
        <v>162</v>
      </c>
      <c r="C122" s="35" t="s">
        <v>256</v>
      </c>
      <c r="D122" s="36" t="s">
        <v>261</v>
      </c>
      <c r="E122" s="35" t="s">
        <v>0</v>
      </c>
      <c r="F122" s="37">
        <f t="shared" si="49"/>
        <v>1050683</v>
      </c>
      <c r="G122" s="37">
        <f t="shared" si="49"/>
        <v>0</v>
      </c>
      <c r="H122" s="37">
        <f t="shared" si="49"/>
        <v>1050683</v>
      </c>
      <c r="I122" s="37">
        <f t="shared" si="49"/>
        <v>1000000</v>
      </c>
      <c r="J122" s="37">
        <f t="shared" si="49"/>
        <v>2050683</v>
      </c>
      <c r="K122" s="37">
        <f t="shared" si="49"/>
        <v>2143393</v>
      </c>
      <c r="L122" s="37">
        <f t="shared" si="49"/>
        <v>0</v>
      </c>
      <c r="M122" s="37">
        <f t="shared" si="49"/>
        <v>2143393</v>
      </c>
      <c r="N122" s="37">
        <f t="shared" si="49"/>
        <v>1636420</v>
      </c>
      <c r="O122" s="37">
        <f t="shared" si="49"/>
        <v>0</v>
      </c>
      <c r="P122" s="37">
        <f t="shared" si="49"/>
        <v>1636420</v>
      </c>
    </row>
    <row r="123" spans="1:16" ht="30" x14ac:dyDescent="0.25">
      <c r="A123" s="96" t="s">
        <v>153</v>
      </c>
      <c r="B123" s="97" t="s">
        <v>162</v>
      </c>
      <c r="C123" s="97" t="s">
        <v>256</v>
      </c>
      <c r="D123" s="98" t="s">
        <v>261</v>
      </c>
      <c r="E123" s="97" t="s">
        <v>158</v>
      </c>
      <c r="F123" s="103">
        <v>1050683</v>
      </c>
      <c r="G123" s="103">
        <v>0</v>
      </c>
      <c r="H123" s="38">
        <f>F123+G123</f>
        <v>1050683</v>
      </c>
      <c r="I123" s="103">
        <v>1000000</v>
      </c>
      <c r="J123" s="38">
        <f>H123+I123</f>
        <v>2050683</v>
      </c>
      <c r="K123" s="103">
        <v>2143393</v>
      </c>
      <c r="L123" s="103">
        <v>0</v>
      </c>
      <c r="M123" s="38">
        <f>K123+L123</f>
        <v>2143393</v>
      </c>
      <c r="N123" s="103">
        <v>1636420</v>
      </c>
      <c r="O123" s="103">
        <v>0</v>
      </c>
      <c r="P123" s="38">
        <f>N123+O123</f>
        <v>1636420</v>
      </c>
    </row>
    <row r="124" spans="1:16" x14ac:dyDescent="0.25">
      <c r="A124" s="30" t="s">
        <v>262</v>
      </c>
      <c r="B124" s="31" t="s">
        <v>162</v>
      </c>
      <c r="C124" s="31" t="s">
        <v>256</v>
      </c>
      <c r="D124" s="32" t="s">
        <v>263</v>
      </c>
      <c r="E124" s="31" t="s">
        <v>0</v>
      </c>
      <c r="F124" s="33">
        <f t="shared" ref="F124:P124" si="50">F125</f>
        <v>700000</v>
      </c>
      <c r="G124" s="33">
        <f t="shared" si="50"/>
        <v>0</v>
      </c>
      <c r="H124" s="33">
        <f t="shared" si="50"/>
        <v>700000</v>
      </c>
      <c r="I124" s="33">
        <f t="shared" si="50"/>
        <v>0</v>
      </c>
      <c r="J124" s="33">
        <f t="shared" si="50"/>
        <v>700000</v>
      </c>
      <c r="K124" s="33">
        <f t="shared" si="50"/>
        <v>700000</v>
      </c>
      <c r="L124" s="33">
        <f t="shared" si="50"/>
        <v>0</v>
      </c>
      <c r="M124" s="33">
        <f t="shared" si="50"/>
        <v>700000</v>
      </c>
      <c r="N124" s="33">
        <f t="shared" si="50"/>
        <v>700000</v>
      </c>
      <c r="O124" s="33">
        <f t="shared" si="50"/>
        <v>0</v>
      </c>
      <c r="P124" s="33">
        <f t="shared" si="50"/>
        <v>700000</v>
      </c>
    </row>
    <row r="125" spans="1:16" x14ac:dyDescent="0.25">
      <c r="A125" s="30" t="s">
        <v>165</v>
      </c>
      <c r="B125" s="31" t="s">
        <v>162</v>
      </c>
      <c r="C125" s="31" t="s">
        <v>256</v>
      </c>
      <c r="D125" s="32" t="s">
        <v>264</v>
      </c>
      <c r="E125" s="31" t="s">
        <v>0</v>
      </c>
      <c r="F125" s="33">
        <f t="shared" ref="F125:P125" si="51">F126+F129</f>
        <v>700000</v>
      </c>
      <c r="G125" s="33">
        <f t="shared" si="51"/>
        <v>0</v>
      </c>
      <c r="H125" s="33">
        <f t="shared" si="51"/>
        <v>700000</v>
      </c>
      <c r="I125" s="33">
        <f t="shared" si="51"/>
        <v>0</v>
      </c>
      <c r="J125" s="33">
        <f t="shared" si="51"/>
        <v>700000</v>
      </c>
      <c r="K125" s="33">
        <f t="shared" si="51"/>
        <v>700000</v>
      </c>
      <c r="L125" s="33">
        <f t="shared" si="51"/>
        <v>0</v>
      </c>
      <c r="M125" s="33">
        <f t="shared" si="51"/>
        <v>700000</v>
      </c>
      <c r="N125" s="33">
        <f t="shared" si="51"/>
        <v>700000</v>
      </c>
      <c r="O125" s="33">
        <f t="shared" si="51"/>
        <v>0</v>
      </c>
      <c r="P125" s="33">
        <f t="shared" si="51"/>
        <v>700000</v>
      </c>
    </row>
    <row r="126" spans="1:16" ht="13.5" customHeight="1" x14ac:dyDescent="0.25">
      <c r="A126" s="34" t="s">
        <v>265</v>
      </c>
      <c r="B126" s="35" t="s">
        <v>162</v>
      </c>
      <c r="C126" s="35" t="s">
        <v>256</v>
      </c>
      <c r="D126" s="36" t="s">
        <v>266</v>
      </c>
      <c r="E126" s="35" t="s">
        <v>0</v>
      </c>
      <c r="F126" s="37">
        <f t="shared" ref="F126:P126" si="52">F127+F128</f>
        <v>500000</v>
      </c>
      <c r="G126" s="37">
        <f t="shared" si="52"/>
        <v>0</v>
      </c>
      <c r="H126" s="37">
        <f t="shared" si="52"/>
        <v>500000</v>
      </c>
      <c r="I126" s="37">
        <f t="shared" si="52"/>
        <v>0</v>
      </c>
      <c r="J126" s="37">
        <f t="shared" si="52"/>
        <v>500000</v>
      </c>
      <c r="K126" s="37">
        <f t="shared" si="52"/>
        <v>500000</v>
      </c>
      <c r="L126" s="37">
        <f t="shared" si="52"/>
        <v>0</v>
      </c>
      <c r="M126" s="37">
        <f t="shared" si="52"/>
        <v>500000</v>
      </c>
      <c r="N126" s="37">
        <f t="shared" si="52"/>
        <v>500000</v>
      </c>
      <c r="O126" s="37">
        <f t="shared" si="52"/>
        <v>0</v>
      </c>
      <c r="P126" s="37">
        <f t="shared" si="52"/>
        <v>500000</v>
      </c>
    </row>
    <row r="127" spans="1:16" ht="30" x14ac:dyDescent="0.25">
      <c r="A127" s="96" t="s">
        <v>153</v>
      </c>
      <c r="B127" s="97" t="s">
        <v>162</v>
      </c>
      <c r="C127" s="97" t="s">
        <v>256</v>
      </c>
      <c r="D127" s="98" t="s">
        <v>266</v>
      </c>
      <c r="E127" s="97" t="s">
        <v>158</v>
      </c>
      <c r="F127" s="103">
        <v>18000</v>
      </c>
      <c r="G127" s="103">
        <v>0</v>
      </c>
      <c r="H127" s="38">
        <f>F127+G127</f>
        <v>18000</v>
      </c>
      <c r="I127" s="103">
        <v>0</v>
      </c>
      <c r="J127" s="38">
        <f>H127+I127</f>
        <v>18000</v>
      </c>
      <c r="K127" s="103">
        <v>18000</v>
      </c>
      <c r="L127" s="103">
        <v>0</v>
      </c>
      <c r="M127" s="38">
        <f>K127+L127</f>
        <v>18000</v>
      </c>
      <c r="N127" s="103">
        <v>18000</v>
      </c>
      <c r="O127" s="103">
        <v>0</v>
      </c>
      <c r="P127" s="38">
        <f>N127+O127</f>
        <v>18000</v>
      </c>
    </row>
    <row r="128" spans="1:16" x14ac:dyDescent="0.25">
      <c r="A128" s="96" t="s">
        <v>172</v>
      </c>
      <c r="B128" s="97" t="s">
        <v>162</v>
      </c>
      <c r="C128" s="97" t="s">
        <v>256</v>
      </c>
      <c r="D128" s="98" t="s">
        <v>266</v>
      </c>
      <c r="E128" s="97" t="s">
        <v>173</v>
      </c>
      <c r="F128" s="103">
        <v>482000</v>
      </c>
      <c r="G128" s="103">
        <v>0</v>
      </c>
      <c r="H128" s="38">
        <f>F128+G128</f>
        <v>482000</v>
      </c>
      <c r="I128" s="103">
        <v>0</v>
      </c>
      <c r="J128" s="38">
        <f>H128+I128</f>
        <v>482000</v>
      </c>
      <c r="K128" s="103">
        <v>482000</v>
      </c>
      <c r="L128" s="103">
        <v>0</v>
      </c>
      <c r="M128" s="38">
        <f>K128+L128</f>
        <v>482000</v>
      </c>
      <c r="N128" s="103">
        <v>482000</v>
      </c>
      <c r="O128" s="103">
        <v>0</v>
      </c>
      <c r="P128" s="38">
        <f>N128+O128</f>
        <v>482000</v>
      </c>
    </row>
    <row r="129" spans="1:16" x14ac:dyDescent="0.25">
      <c r="A129" s="34" t="s">
        <v>267</v>
      </c>
      <c r="B129" s="35" t="s">
        <v>162</v>
      </c>
      <c r="C129" s="35" t="s">
        <v>256</v>
      </c>
      <c r="D129" s="36" t="s">
        <v>268</v>
      </c>
      <c r="E129" s="35" t="s">
        <v>0</v>
      </c>
      <c r="F129" s="37">
        <f t="shared" ref="F129:P129" si="53">F130</f>
        <v>200000</v>
      </c>
      <c r="G129" s="37">
        <f t="shared" si="53"/>
        <v>0</v>
      </c>
      <c r="H129" s="37">
        <f t="shared" si="53"/>
        <v>200000</v>
      </c>
      <c r="I129" s="37">
        <f t="shared" si="53"/>
        <v>0</v>
      </c>
      <c r="J129" s="37">
        <f t="shared" si="53"/>
        <v>200000</v>
      </c>
      <c r="K129" s="37">
        <f t="shared" si="53"/>
        <v>200000</v>
      </c>
      <c r="L129" s="37">
        <f t="shared" si="53"/>
        <v>0</v>
      </c>
      <c r="M129" s="37">
        <f t="shared" si="53"/>
        <v>200000</v>
      </c>
      <c r="N129" s="37">
        <f t="shared" si="53"/>
        <v>200000</v>
      </c>
      <c r="O129" s="37">
        <f t="shared" si="53"/>
        <v>0</v>
      </c>
      <c r="P129" s="37">
        <f t="shared" si="53"/>
        <v>200000</v>
      </c>
    </row>
    <row r="130" spans="1:16" x14ac:dyDescent="0.25">
      <c r="A130" s="96" t="s">
        <v>172</v>
      </c>
      <c r="B130" s="97" t="s">
        <v>162</v>
      </c>
      <c r="C130" s="97" t="s">
        <v>256</v>
      </c>
      <c r="D130" s="98" t="s">
        <v>268</v>
      </c>
      <c r="E130" s="97" t="s">
        <v>173</v>
      </c>
      <c r="F130" s="103">
        <v>200000</v>
      </c>
      <c r="G130" s="103">
        <v>0</v>
      </c>
      <c r="H130" s="38">
        <f>F130+G130</f>
        <v>200000</v>
      </c>
      <c r="I130" s="103">
        <v>0</v>
      </c>
      <c r="J130" s="38">
        <f>H130+I130</f>
        <v>200000</v>
      </c>
      <c r="K130" s="103">
        <v>200000</v>
      </c>
      <c r="L130" s="103">
        <v>0</v>
      </c>
      <c r="M130" s="38">
        <f>K130+L130</f>
        <v>200000</v>
      </c>
      <c r="N130" s="103">
        <v>200000</v>
      </c>
      <c r="O130" s="103">
        <v>0</v>
      </c>
      <c r="P130" s="38">
        <f>N130+O130</f>
        <v>200000</v>
      </c>
    </row>
    <row r="131" spans="1:16" x14ac:dyDescent="0.25">
      <c r="A131" s="30" t="s">
        <v>269</v>
      </c>
      <c r="B131" s="31" t="s">
        <v>234</v>
      </c>
      <c r="C131" s="31" t="s">
        <v>0</v>
      </c>
      <c r="D131" s="32" t="s">
        <v>0</v>
      </c>
      <c r="E131" s="31" t="s">
        <v>0</v>
      </c>
      <c r="F131" s="33">
        <f t="shared" ref="F131:P131" si="54">F132+F143+F157+F187</f>
        <v>191462141.70316887</v>
      </c>
      <c r="G131" s="33">
        <f t="shared" si="54"/>
        <v>506102657.11999995</v>
      </c>
      <c r="H131" s="33">
        <f t="shared" si="54"/>
        <v>697564798.82316887</v>
      </c>
      <c r="I131" s="33">
        <f t="shared" si="54"/>
        <v>-41570023.350000001</v>
      </c>
      <c r="J131" s="33">
        <f t="shared" si="54"/>
        <v>655994775.47316885</v>
      </c>
      <c r="K131" s="33">
        <f t="shared" si="54"/>
        <v>108198131.31517862</v>
      </c>
      <c r="L131" s="33">
        <f t="shared" si="54"/>
        <v>0</v>
      </c>
      <c r="M131" s="33">
        <f t="shared" si="54"/>
        <v>108198131.31517862</v>
      </c>
      <c r="N131" s="33">
        <f t="shared" si="54"/>
        <v>117799140.06740916</v>
      </c>
      <c r="O131" s="33">
        <f t="shared" si="54"/>
        <v>0</v>
      </c>
      <c r="P131" s="33">
        <f t="shared" si="54"/>
        <v>117799140.06740916</v>
      </c>
    </row>
    <row r="132" spans="1:16" x14ac:dyDescent="0.25">
      <c r="A132" s="30" t="s">
        <v>270</v>
      </c>
      <c r="B132" s="31" t="s">
        <v>234</v>
      </c>
      <c r="C132" s="31" t="s">
        <v>142</v>
      </c>
      <c r="D132" s="32" t="s">
        <v>0</v>
      </c>
      <c r="E132" s="31" t="s">
        <v>0</v>
      </c>
      <c r="F132" s="33">
        <f t="shared" ref="F132:P133" si="55">F133</f>
        <v>33761828.219999999</v>
      </c>
      <c r="G132" s="33">
        <f t="shared" si="55"/>
        <v>182235290.69999999</v>
      </c>
      <c r="H132" s="33">
        <f t="shared" si="55"/>
        <v>215997118.92000002</v>
      </c>
      <c r="I132" s="33">
        <f t="shared" si="55"/>
        <v>2862291.33</v>
      </c>
      <c r="J132" s="33">
        <f t="shared" si="55"/>
        <v>218859410.25</v>
      </c>
      <c r="K132" s="33">
        <f t="shared" si="55"/>
        <v>1035150</v>
      </c>
      <c r="L132" s="33">
        <f t="shared" si="55"/>
        <v>0</v>
      </c>
      <c r="M132" s="33">
        <f t="shared" si="55"/>
        <v>1035150</v>
      </c>
      <c r="N132" s="33">
        <f t="shared" si="55"/>
        <v>1035150</v>
      </c>
      <c r="O132" s="33">
        <f t="shared" si="55"/>
        <v>0</v>
      </c>
      <c r="P132" s="33">
        <f t="shared" si="55"/>
        <v>1035150</v>
      </c>
    </row>
    <row r="133" spans="1:16" x14ac:dyDescent="0.25">
      <c r="A133" s="30" t="s">
        <v>257</v>
      </c>
      <c r="B133" s="31" t="s">
        <v>234</v>
      </c>
      <c r="C133" s="31" t="s">
        <v>142</v>
      </c>
      <c r="D133" s="32" t="s">
        <v>258</v>
      </c>
      <c r="E133" s="31" t="s">
        <v>0</v>
      </c>
      <c r="F133" s="33">
        <f t="shared" si="55"/>
        <v>33761828.219999999</v>
      </c>
      <c r="G133" s="33">
        <f t="shared" si="55"/>
        <v>182235290.69999999</v>
      </c>
      <c r="H133" s="33">
        <f t="shared" si="55"/>
        <v>215997118.92000002</v>
      </c>
      <c r="I133" s="33">
        <f t="shared" si="55"/>
        <v>2862291.33</v>
      </c>
      <c r="J133" s="33">
        <f t="shared" si="55"/>
        <v>218859410.25</v>
      </c>
      <c r="K133" s="33">
        <f t="shared" si="55"/>
        <v>1035150</v>
      </c>
      <c r="L133" s="33">
        <f t="shared" si="55"/>
        <v>0</v>
      </c>
      <c r="M133" s="33">
        <f t="shared" si="55"/>
        <v>1035150</v>
      </c>
      <c r="N133" s="33">
        <f t="shared" si="55"/>
        <v>1035150</v>
      </c>
      <c r="O133" s="33">
        <f t="shared" si="55"/>
        <v>0</v>
      </c>
      <c r="P133" s="33">
        <f t="shared" si="55"/>
        <v>1035150</v>
      </c>
    </row>
    <row r="134" spans="1:16" x14ac:dyDescent="0.25">
      <c r="A134" s="30" t="s">
        <v>165</v>
      </c>
      <c r="B134" s="31" t="s">
        <v>234</v>
      </c>
      <c r="C134" s="31" t="s">
        <v>142</v>
      </c>
      <c r="D134" s="32" t="s">
        <v>259</v>
      </c>
      <c r="E134" s="32" t="s">
        <v>0</v>
      </c>
      <c r="F134" s="42">
        <f>F135+F137+F141</f>
        <v>33761828.219999999</v>
      </c>
      <c r="G134" s="42">
        <f>G135+G137+G141</f>
        <v>182235290.69999999</v>
      </c>
      <c r="H134" s="42">
        <f>H135+H137+H141</f>
        <v>215997118.92000002</v>
      </c>
      <c r="I134" s="42">
        <f>I135+I137+I141</f>
        <v>2862291.33</v>
      </c>
      <c r="J134" s="42">
        <f>J135+J137+J141</f>
        <v>218859410.25</v>
      </c>
      <c r="K134" s="33">
        <f t="shared" ref="K134:N134" si="56">K135+K137+K141</f>
        <v>1035150</v>
      </c>
      <c r="L134" s="42">
        <f>L135+L137+L141</f>
        <v>0</v>
      </c>
      <c r="M134" s="42">
        <f>M135+M137+M141</f>
        <v>1035150</v>
      </c>
      <c r="N134" s="33">
        <f t="shared" si="56"/>
        <v>1035150</v>
      </c>
      <c r="O134" s="42">
        <f>O135+O137+O141</f>
        <v>0</v>
      </c>
      <c r="P134" s="42">
        <f>P135+P137+P141</f>
        <v>1035150</v>
      </c>
    </row>
    <row r="135" spans="1:16" ht="27" x14ac:dyDescent="0.25">
      <c r="A135" s="34" t="s">
        <v>271</v>
      </c>
      <c r="B135" s="35" t="s">
        <v>234</v>
      </c>
      <c r="C135" s="35" t="s">
        <v>142</v>
      </c>
      <c r="D135" s="36" t="s">
        <v>272</v>
      </c>
      <c r="E135" s="36" t="s">
        <v>0</v>
      </c>
      <c r="F135" s="43">
        <f t="shared" ref="F135:P135" si="57">F136</f>
        <v>2138588.56</v>
      </c>
      <c r="G135" s="43">
        <f t="shared" si="57"/>
        <v>0</v>
      </c>
      <c r="H135" s="43">
        <f t="shared" si="57"/>
        <v>2138588.56</v>
      </c>
      <c r="I135" s="43">
        <f t="shared" si="57"/>
        <v>0</v>
      </c>
      <c r="J135" s="43">
        <f t="shared" si="57"/>
        <v>2138588.56</v>
      </c>
      <c r="K135" s="43">
        <f t="shared" si="57"/>
        <v>0</v>
      </c>
      <c r="L135" s="43">
        <f t="shared" si="57"/>
        <v>0</v>
      </c>
      <c r="M135" s="43">
        <f t="shared" si="57"/>
        <v>0</v>
      </c>
      <c r="N135" s="43">
        <f t="shared" si="57"/>
        <v>0</v>
      </c>
      <c r="O135" s="43">
        <f t="shared" si="57"/>
        <v>0</v>
      </c>
      <c r="P135" s="43">
        <f t="shared" si="57"/>
        <v>0</v>
      </c>
    </row>
    <row r="136" spans="1:16" ht="30" x14ac:dyDescent="0.25">
      <c r="A136" s="96" t="s">
        <v>153</v>
      </c>
      <c r="B136" s="97" t="s">
        <v>234</v>
      </c>
      <c r="C136" s="97" t="s">
        <v>142</v>
      </c>
      <c r="D136" s="98" t="s">
        <v>272</v>
      </c>
      <c r="E136" s="98" t="s">
        <v>158</v>
      </c>
      <c r="F136" s="103">
        <v>2138588.56</v>
      </c>
      <c r="G136" s="103">
        <v>0</v>
      </c>
      <c r="H136" s="38">
        <f>F136+G136</f>
        <v>2138588.56</v>
      </c>
      <c r="I136" s="103">
        <v>0</v>
      </c>
      <c r="J136" s="38">
        <f>H136+I136</f>
        <v>2138588.56</v>
      </c>
      <c r="K136" s="103">
        <v>0</v>
      </c>
      <c r="L136" s="103">
        <v>0</v>
      </c>
      <c r="M136" s="38">
        <f>K136+L136</f>
        <v>0</v>
      </c>
      <c r="N136" s="103">
        <v>0</v>
      </c>
      <c r="O136" s="103">
        <v>0</v>
      </c>
      <c r="P136" s="38">
        <f>N136+O136</f>
        <v>0</v>
      </c>
    </row>
    <row r="137" spans="1:16" x14ac:dyDescent="0.25">
      <c r="A137" s="34" t="s">
        <v>273</v>
      </c>
      <c r="B137" s="35" t="s">
        <v>234</v>
      </c>
      <c r="C137" s="35" t="s">
        <v>142</v>
      </c>
      <c r="D137" s="36" t="s">
        <v>274</v>
      </c>
      <c r="E137" s="36" t="s">
        <v>0</v>
      </c>
      <c r="F137" s="43">
        <f>F138+F139</f>
        <v>28820918.659999996</v>
      </c>
      <c r="G137" s="43">
        <f>G138+G139</f>
        <v>182235290.69999999</v>
      </c>
      <c r="H137" s="43">
        <f>H138+H139</f>
        <v>211056209.36000001</v>
      </c>
      <c r="I137" s="43">
        <f>I138+I139</f>
        <v>169974.49</v>
      </c>
      <c r="J137" s="43">
        <f>J138+J139</f>
        <v>211226183.84999999</v>
      </c>
      <c r="K137" s="37">
        <f t="shared" ref="K137:N137" si="58">K138+K139</f>
        <v>0</v>
      </c>
      <c r="L137" s="43">
        <f>L138+L139</f>
        <v>0</v>
      </c>
      <c r="M137" s="43">
        <f>M138+M139</f>
        <v>0</v>
      </c>
      <c r="N137" s="37">
        <f t="shared" si="58"/>
        <v>0</v>
      </c>
      <c r="O137" s="43">
        <f>O138+O139</f>
        <v>0</v>
      </c>
      <c r="P137" s="43">
        <f>P138+P139</f>
        <v>0</v>
      </c>
    </row>
    <row r="138" spans="1:16" ht="30" x14ac:dyDescent="0.25">
      <c r="A138" s="96" t="s">
        <v>153</v>
      </c>
      <c r="B138" s="97" t="s">
        <v>234</v>
      </c>
      <c r="C138" s="97" t="s">
        <v>142</v>
      </c>
      <c r="D138" s="98" t="s">
        <v>274</v>
      </c>
      <c r="E138" s="98" t="s">
        <v>158</v>
      </c>
      <c r="F138" s="103">
        <v>2468703.17</v>
      </c>
      <c r="G138" s="103">
        <f>60000+16133267.7+60000+2783982.34</f>
        <v>19037250.039999999</v>
      </c>
      <c r="H138" s="38">
        <f>F138+G138</f>
        <v>21505953.210000001</v>
      </c>
      <c r="I138" s="103">
        <f>340666.69-170692.2</f>
        <v>169974.49</v>
      </c>
      <c r="J138" s="38">
        <f>H138+I138</f>
        <v>21675927.699999999</v>
      </c>
      <c r="K138" s="99">
        <v>0</v>
      </c>
      <c r="L138" s="103">
        <v>0</v>
      </c>
      <c r="M138" s="38">
        <f>K138+L138</f>
        <v>0</v>
      </c>
      <c r="N138" s="99">
        <v>0</v>
      </c>
      <c r="O138" s="103">
        <v>0</v>
      </c>
      <c r="P138" s="38">
        <f>N138+O138</f>
        <v>0</v>
      </c>
    </row>
    <row r="139" spans="1:16" x14ac:dyDescent="0.25">
      <c r="A139" s="96" t="s">
        <v>169</v>
      </c>
      <c r="B139" s="97" t="s">
        <v>234</v>
      </c>
      <c r="C139" s="97" t="s">
        <v>142</v>
      </c>
      <c r="D139" s="98" t="s">
        <v>274</v>
      </c>
      <c r="E139" s="98" t="s">
        <v>171</v>
      </c>
      <c r="F139" s="103">
        <f>25000000+2929330-1577114.51</f>
        <v>26352215.489999998</v>
      </c>
      <c r="G139" s="103">
        <f>121042023+42156017.66</f>
        <v>163198040.66</v>
      </c>
      <c r="H139" s="38">
        <f>F139+G139</f>
        <v>189550256.15000001</v>
      </c>
      <c r="I139" s="103">
        <v>0</v>
      </c>
      <c r="J139" s="38">
        <f>H139+I139</f>
        <v>189550256.15000001</v>
      </c>
      <c r="K139" s="99">
        <v>0</v>
      </c>
      <c r="L139" s="103">
        <v>0</v>
      </c>
      <c r="M139" s="38">
        <f>K139+L139</f>
        <v>0</v>
      </c>
      <c r="N139" s="99">
        <v>0</v>
      </c>
      <c r="O139" s="103">
        <v>0</v>
      </c>
      <c r="P139" s="38">
        <f>N139+O139</f>
        <v>0</v>
      </c>
    </row>
    <row r="140" spans="1:16" hidden="1" x14ac:dyDescent="0.25">
      <c r="A140" s="96" t="s">
        <v>172</v>
      </c>
      <c r="B140" s="97" t="s">
        <v>234</v>
      </c>
      <c r="C140" s="97" t="s">
        <v>142</v>
      </c>
      <c r="D140" s="98" t="s">
        <v>274</v>
      </c>
      <c r="E140" s="98" t="s">
        <v>173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99">
        <v>0</v>
      </c>
      <c r="L140" s="103">
        <v>0</v>
      </c>
      <c r="M140" s="103">
        <v>0</v>
      </c>
      <c r="N140" s="99">
        <v>0</v>
      </c>
      <c r="O140" s="103">
        <v>0</v>
      </c>
      <c r="P140" s="103">
        <v>0</v>
      </c>
    </row>
    <row r="141" spans="1:16" x14ac:dyDescent="0.25">
      <c r="A141" s="34" t="s">
        <v>275</v>
      </c>
      <c r="B141" s="35" t="s">
        <v>234</v>
      </c>
      <c r="C141" s="35" t="s">
        <v>142</v>
      </c>
      <c r="D141" s="36" t="s">
        <v>276</v>
      </c>
      <c r="E141" s="36" t="s">
        <v>0</v>
      </c>
      <c r="F141" s="43">
        <f>F142</f>
        <v>2802321</v>
      </c>
      <c r="G141" s="43">
        <f>G142</f>
        <v>0</v>
      </c>
      <c r="H141" s="43">
        <f>H142</f>
        <v>2802321</v>
      </c>
      <c r="I141" s="43">
        <f>I142</f>
        <v>2692316.84</v>
      </c>
      <c r="J141" s="43">
        <f>J142</f>
        <v>5494637.8399999999</v>
      </c>
      <c r="K141" s="43">
        <f t="shared" ref="K141:N141" si="59">K142</f>
        <v>1035150</v>
      </c>
      <c r="L141" s="43">
        <f>L142</f>
        <v>0</v>
      </c>
      <c r="M141" s="43">
        <f>M142</f>
        <v>1035150</v>
      </c>
      <c r="N141" s="43">
        <f t="shared" si="59"/>
        <v>1035150</v>
      </c>
      <c r="O141" s="43">
        <f>O142</f>
        <v>0</v>
      </c>
      <c r="P141" s="43">
        <f>P142</f>
        <v>1035150</v>
      </c>
    </row>
    <row r="142" spans="1:16" ht="30" x14ac:dyDescent="0.25">
      <c r="A142" s="96" t="s">
        <v>153</v>
      </c>
      <c r="B142" s="97" t="s">
        <v>234</v>
      </c>
      <c r="C142" s="97" t="s">
        <v>142</v>
      </c>
      <c r="D142" s="98" t="s">
        <v>276</v>
      </c>
      <c r="E142" s="98" t="s">
        <v>158</v>
      </c>
      <c r="F142" s="103">
        <v>2802321</v>
      </c>
      <c r="G142" s="103">
        <v>0</v>
      </c>
      <c r="H142" s="38">
        <f>F142+G142</f>
        <v>2802321</v>
      </c>
      <c r="I142" s="103">
        <f>465000+317268+1427100+482948.84</f>
        <v>2692316.84</v>
      </c>
      <c r="J142" s="38">
        <f>H142+I142</f>
        <v>5494637.8399999999</v>
      </c>
      <c r="K142" s="103">
        <v>1035150</v>
      </c>
      <c r="L142" s="103">
        <v>0</v>
      </c>
      <c r="M142" s="38">
        <f>K142+L142</f>
        <v>1035150</v>
      </c>
      <c r="N142" s="103">
        <v>1035150</v>
      </c>
      <c r="O142" s="103">
        <v>0</v>
      </c>
      <c r="P142" s="38">
        <f>N142+O142</f>
        <v>1035150</v>
      </c>
    </row>
    <row r="143" spans="1:16" x14ac:dyDescent="0.25">
      <c r="A143" s="30" t="s">
        <v>277</v>
      </c>
      <c r="B143" s="31" t="s">
        <v>234</v>
      </c>
      <c r="C143" s="31" t="s">
        <v>144</v>
      </c>
      <c r="D143" s="32" t="s">
        <v>0</v>
      </c>
      <c r="E143" s="31" t="s">
        <v>0</v>
      </c>
      <c r="F143" s="33">
        <f t="shared" ref="F143:P144" si="60">F144</f>
        <v>28121821.129999995</v>
      </c>
      <c r="G143" s="33">
        <f>G144</f>
        <v>115365400.81999999</v>
      </c>
      <c r="H143" s="33">
        <f t="shared" si="60"/>
        <v>143487221.94999999</v>
      </c>
      <c r="I143" s="33">
        <f>I144</f>
        <v>-4624474.09</v>
      </c>
      <c r="J143" s="33">
        <f t="shared" si="60"/>
        <v>138862747.85999998</v>
      </c>
      <c r="K143" s="33">
        <f t="shared" si="60"/>
        <v>2891121</v>
      </c>
      <c r="L143" s="33">
        <f>L144</f>
        <v>0</v>
      </c>
      <c r="M143" s="33">
        <f t="shared" si="60"/>
        <v>2891121</v>
      </c>
      <c r="N143" s="33">
        <f t="shared" si="60"/>
        <v>2994121</v>
      </c>
      <c r="O143" s="33">
        <f>O144</f>
        <v>0</v>
      </c>
      <c r="P143" s="33">
        <f t="shared" si="60"/>
        <v>2994121</v>
      </c>
    </row>
    <row r="144" spans="1:16" x14ac:dyDescent="0.25">
      <c r="A144" s="30" t="s">
        <v>257</v>
      </c>
      <c r="B144" s="31" t="s">
        <v>234</v>
      </c>
      <c r="C144" s="31" t="s">
        <v>144</v>
      </c>
      <c r="D144" s="32" t="s">
        <v>258</v>
      </c>
      <c r="E144" s="31" t="s">
        <v>0</v>
      </c>
      <c r="F144" s="42">
        <f t="shared" si="60"/>
        <v>28121821.129999995</v>
      </c>
      <c r="G144" s="42">
        <f t="shared" si="60"/>
        <v>115365400.81999999</v>
      </c>
      <c r="H144" s="42">
        <f t="shared" si="60"/>
        <v>143487221.94999999</v>
      </c>
      <c r="I144" s="42">
        <f t="shared" si="60"/>
        <v>-4624474.09</v>
      </c>
      <c r="J144" s="42">
        <f t="shared" si="60"/>
        <v>138862747.85999998</v>
      </c>
      <c r="K144" s="42">
        <v>2891121</v>
      </c>
      <c r="L144" s="42">
        <f t="shared" si="60"/>
        <v>0</v>
      </c>
      <c r="M144" s="42">
        <f t="shared" si="60"/>
        <v>2891121</v>
      </c>
      <c r="N144" s="42">
        <v>2994121</v>
      </c>
      <c r="O144" s="42">
        <f t="shared" si="60"/>
        <v>0</v>
      </c>
      <c r="P144" s="42">
        <f t="shared" si="60"/>
        <v>2994121</v>
      </c>
    </row>
    <row r="145" spans="1:17" x14ac:dyDescent="0.25">
      <c r="A145" s="30" t="s">
        <v>165</v>
      </c>
      <c r="B145" s="31" t="s">
        <v>234</v>
      </c>
      <c r="C145" s="31" t="s">
        <v>144</v>
      </c>
      <c r="D145" s="32" t="s">
        <v>259</v>
      </c>
      <c r="E145" s="31" t="s">
        <v>0</v>
      </c>
      <c r="F145" s="42">
        <f>F146+F150+F152+F155</f>
        <v>28121821.129999995</v>
      </c>
      <c r="G145" s="42">
        <f t="shared" ref="G145:J145" si="61">G146+G150+G152+G155</f>
        <v>115365400.81999999</v>
      </c>
      <c r="H145" s="42">
        <f t="shared" si="61"/>
        <v>143487221.94999999</v>
      </c>
      <c r="I145" s="42">
        <f t="shared" si="61"/>
        <v>-4624474.09</v>
      </c>
      <c r="J145" s="42">
        <f t="shared" si="61"/>
        <v>138862747.85999998</v>
      </c>
      <c r="K145" s="42">
        <v>2891121</v>
      </c>
      <c r="L145" s="42">
        <f t="shared" ref="L145:M145" si="62">L146+L150+L152+L155</f>
        <v>0</v>
      </c>
      <c r="M145" s="42">
        <f t="shared" si="62"/>
        <v>2891121</v>
      </c>
      <c r="N145" s="42">
        <v>2994121</v>
      </c>
      <c r="O145" s="42">
        <f t="shared" ref="O145:P145" si="63">O146+O150+O152+O155</f>
        <v>0</v>
      </c>
      <c r="P145" s="42">
        <f t="shared" si="63"/>
        <v>2994121</v>
      </c>
    </row>
    <row r="146" spans="1:17" ht="12.75" customHeight="1" x14ac:dyDescent="0.25">
      <c r="A146" s="48" t="s">
        <v>278</v>
      </c>
      <c r="B146" s="36" t="s">
        <v>234</v>
      </c>
      <c r="C146" s="36" t="s">
        <v>144</v>
      </c>
      <c r="D146" s="36" t="s">
        <v>279</v>
      </c>
      <c r="E146" s="36" t="s">
        <v>0</v>
      </c>
      <c r="F146" s="43">
        <f t="shared" ref="F146:P146" si="64">F147+F148+F149</f>
        <v>6002092</v>
      </c>
      <c r="G146" s="43">
        <f t="shared" si="64"/>
        <v>3236998.49</v>
      </c>
      <c r="H146" s="43">
        <f t="shared" si="64"/>
        <v>9239090.4900000002</v>
      </c>
      <c r="I146" s="43">
        <f t="shared" si="64"/>
        <v>3275065.08</v>
      </c>
      <c r="J146" s="43">
        <f t="shared" si="64"/>
        <v>12514155.57</v>
      </c>
      <c r="K146" s="43">
        <f t="shared" si="64"/>
        <v>2891121</v>
      </c>
      <c r="L146" s="43">
        <f t="shared" si="64"/>
        <v>0</v>
      </c>
      <c r="M146" s="43">
        <f t="shared" si="64"/>
        <v>2891121</v>
      </c>
      <c r="N146" s="43">
        <f t="shared" si="64"/>
        <v>2994121</v>
      </c>
      <c r="O146" s="43">
        <f t="shared" si="64"/>
        <v>0</v>
      </c>
      <c r="P146" s="43">
        <f t="shared" si="64"/>
        <v>2994121</v>
      </c>
    </row>
    <row r="147" spans="1:17" ht="30" x14ac:dyDescent="0.25">
      <c r="A147" s="96" t="s">
        <v>153</v>
      </c>
      <c r="B147" s="97" t="s">
        <v>234</v>
      </c>
      <c r="C147" s="97" t="s">
        <v>144</v>
      </c>
      <c r="D147" s="98" t="s">
        <v>279</v>
      </c>
      <c r="E147" s="97" t="s">
        <v>158</v>
      </c>
      <c r="F147" s="103">
        <v>2994121</v>
      </c>
      <c r="G147" s="103">
        <v>181761.1</v>
      </c>
      <c r="H147" s="38">
        <f>F147+G147</f>
        <v>3175882.1</v>
      </c>
      <c r="I147" s="103">
        <v>75435.100000000006</v>
      </c>
      <c r="J147" s="38">
        <f>H147+I147</f>
        <v>3251317.2</v>
      </c>
      <c r="K147" s="103">
        <v>2891121</v>
      </c>
      <c r="L147" s="103">
        <v>0</v>
      </c>
      <c r="M147" s="38">
        <f>K147+L147</f>
        <v>2891121</v>
      </c>
      <c r="N147" s="103">
        <v>2994121</v>
      </c>
      <c r="O147" s="103">
        <v>0</v>
      </c>
      <c r="P147" s="38">
        <f>N147+O147</f>
        <v>2994121</v>
      </c>
    </row>
    <row r="148" spans="1:17" x14ac:dyDescent="0.25">
      <c r="A148" s="96" t="s">
        <v>169</v>
      </c>
      <c r="B148" s="97" t="s">
        <v>234</v>
      </c>
      <c r="C148" s="97" t="s">
        <v>144</v>
      </c>
      <c r="D148" s="98" t="s">
        <v>279</v>
      </c>
      <c r="E148" s="97" t="s">
        <v>171</v>
      </c>
      <c r="F148" s="103">
        <v>0</v>
      </c>
      <c r="G148" s="103">
        <v>0</v>
      </c>
      <c r="H148" s="38">
        <f>F148+G148</f>
        <v>0</v>
      </c>
      <c r="I148" s="103">
        <v>0</v>
      </c>
      <c r="J148" s="38">
        <f>H148+I148</f>
        <v>0</v>
      </c>
      <c r="K148" s="103">
        <v>0</v>
      </c>
      <c r="L148" s="103">
        <v>0</v>
      </c>
      <c r="M148" s="38">
        <f>K148+L148</f>
        <v>0</v>
      </c>
      <c r="N148" s="103">
        <v>0</v>
      </c>
      <c r="O148" s="103">
        <v>0</v>
      </c>
      <c r="P148" s="38">
        <f>N148+O148</f>
        <v>0</v>
      </c>
    </row>
    <row r="149" spans="1:17" ht="13.5" customHeight="1" x14ac:dyDescent="0.25">
      <c r="A149" s="96" t="s">
        <v>172</v>
      </c>
      <c r="B149" s="97" t="s">
        <v>234</v>
      </c>
      <c r="C149" s="97" t="s">
        <v>144</v>
      </c>
      <c r="D149" s="98" t="s">
        <v>279</v>
      </c>
      <c r="E149" s="97" t="s">
        <v>173</v>
      </c>
      <c r="F149" s="103">
        <v>3007971</v>
      </c>
      <c r="G149" s="44">
        <v>3055237.39</v>
      </c>
      <c r="H149" s="38">
        <f>F149+G149</f>
        <v>6063208.3900000006</v>
      </c>
      <c r="I149" s="44">
        <v>3199629.98</v>
      </c>
      <c r="J149" s="38">
        <f>H149+I149</f>
        <v>9262838.370000001</v>
      </c>
      <c r="K149" s="103">
        <v>0</v>
      </c>
      <c r="L149" s="44">
        <v>0</v>
      </c>
      <c r="M149" s="38">
        <f>K149+L149</f>
        <v>0</v>
      </c>
      <c r="N149" s="103">
        <v>0</v>
      </c>
      <c r="O149" s="44">
        <v>0</v>
      </c>
      <c r="P149" s="38">
        <f>N149+O149</f>
        <v>0</v>
      </c>
    </row>
    <row r="150" spans="1:17" ht="24" customHeight="1" x14ac:dyDescent="0.25">
      <c r="A150" s="61" t="s">
        <v>280</v>
      </c>
      <c r="B150" s="35" t="s">
        <v>234</v>
      </c>
      <c r="C150" s="35" t="s">
        <v>144</v>
      </c>
      <c r="D150" s="36" t="s">
        <v>281</v>
      </c>
      <c r="E150" s="35" t="s">
        <v>0</v>
      </c>
      <c r="F150" s="43">
        <f>F151</f>
        <v>14119729.129999999</v>
      </c>
      <c r="G150" s="43">
        <f>G151</f>
        <v>0</v>
      </c>
      <c r="H150" s="43">
        <f>H151</f>
        <v>14119729.129999999</v>
      </c>
      <c r="I150" s="43">
        <f>I151</f>
        <v>0</v>
      </c>
      <c r="J150" s="43">
        <f>J151</f>
        <v>14119729.129999999</v>
      </c>
      <c r="K150" s="43">
        <f>K152+K151</f>
        <v>0</v>
      </c>
      <c r="L150" s="43">
        <f>L151</f>
        <v>0</v>
      </c>
      <c r="M150" s="43">
        <f>M151</f>
        <v>0</v>
      </c>
      <c r="N150" s="43">
        <f>N152+N151</f>
        <v>0</v>
      </c>
      <c r="O150" s="43">
        <f>O151</f>
        <v>0</v>
      </c>
      <c r="P150" s="43">
        <f>P151</f>
        <v>0</v>
      </c>
    </row>
    <row r="151" spans="1:17" ht="13.5" customHeight="1" x14ac:dyDescent="0.25">
      <c r="A151" s="96" t="s">
        <v>153</v>
      </c>
      <c r="B151" s="97" t="s">
        <v>234</v>
      </c>
      <c r="C151" s="97" t="s">
        <v>144</v>
      </c>
      <c r="D151" s="50" t="s">
        <v>282</v>
      </c>
      <c r="E151" s="97">
        <v>200</v>
      </c>
      <c r="F151" s="103">
        <v>14119729.129999999</v>
      </c>
      <c r="G151" s="103">
        <v>0</v>
      </c>
      <c r="H151" s="38">
        <f>F151+G151</f>
        <v>14119729.129999999</v>
      </c>
      <c r="I151" s="103">
        <v>0</v>
      </c>
      <c r="J151" s="38">
        <f>H151+I151</f>
        <v>14119729.129999999</v>
      </c>
      <c r="K151" s="103">
        <v>0</v>
      </c>
      <c r="L151" s="103">
        <v>0</v>
      </c>
      <c r="M151" s="38">
        <f>K151+L151</f>
        <v>0</v>
      </c>
      <c r="N151" s="103">
        <v>0</v>
      </c>
      <c r="O151" s="103">
        <v>0</v>
      </c>
      <c r="P151" s="38">
        <f>N151+O151</f>
        <v>0</v>
      </c>
    </row>
    <row r="152" spans="1:17" ht="15.75" customHeight="1" x14ac:dyDescent="0.25">
      <c r="A152" s="34" t="s">
        <v>283</v>
      </c>
      <c r="B152" s="35" t="s">
        <v>234</v>
      </c>
      <c r="C152" s="35" t="s">
        <v>144</v>
      </c>
      <c r="D152" s="36" t="s">
        <v>284</v>
      </c>
      <c r="E152" s="35"/>
      <c r="F152" s="43">
        <f>F154+F153</f>
        <v>4893257.74</v>
      </c>
      <c r="G152" s="62">
        <f t="shared" ref="G152:P152" si="65">G154+G153</f>
        <v>112128402.33</v>
      </c>
      <c r="H152" s="62">
        <f t="shared" si="65"/>
        <v>117021660.06999999</v>
      </c>
      <c r="I152" s="62">
        <f t="shared" si="65"/>
        <v>-4792796.91</v>
      </c>
      <c r="J152" s="62">
        <f t="shared" si="65"/>
        <v>112228863.16</v>
      </c>
      <c r="K152" s="62">
        <f t="shared" si="65"/>
        <v>0</v>
      </c>
      <c r="L152" s="62">
        <f t="shared" si="65"/>
        <v>0</v>
      </c>
      <c r="M152" s="62">
        <f t="shared" si="65"/>
        <v>0</v>
      </c>
      <c r="N152" s="43">
        <f t="shared" si="65"/>
        <v>0</v>
      </c>
      <c r="O152" s="62">
        <f t="shared" si="65"/>
        <v>0</v>
      </c>
      <c r="P152" s="62">
        <f t="shared" si="65"/>
        <v>0</v>
      </c>
    </row>
    <row r="153" spans="1:17" ht="15.75" customHeight="1" x14ac:dyDescent="0.25">
      <c r="A153" s="96" t="s">
        <v>153</v>
      </c>
      <c r="B153" s="49" t="s">
        <v>234</v>
      </c>
      <c r="C153" s="49" t="s">
        <v>144</v>
      </c>
      <c r="D153" s="50" t="s">
        <v>284</v>
      </c>
      <c r="E153" s="49">
        <v>200</v>
      </c>
      <c r="F153" s="63">
        <v>0</v>
      </c>
      <c r="G153" s="64">
        <v>1500000</v>
      </c>
      <c r="H153" s="64">
        <f>G153+F153</f>
        <v>1500000</v>
      </c>
      <c r="I153" s="64">
        <v>0</v>
      </c>
      <c r="J153" s="64">
        <f>I153+H153</f>
        <v>1500000</v>
      </c>
      <c r="K153" s="64">
        <v>0</v>
      </c>
      <c r="L153" s="64">
        <v>0</v>
      </c>
      <c r="M153" s="64">
        <f>L153+K153</f>
        <v>0</v>
      </c>
      <c r="N153" s="65">
        <v>0</v>
      </c>
      <c r="O153" s="64">
        <v>0</v>
      </c>
      <c r="P153" s="64">
        <f>O153+N153</f>
        <v>0</v>
      </c>
    </row>
    <row r="154" spans="1:17" x14ac:dyDescent="0.25">
      <c r="A154" s="96" t="s">
        <v>169</v>
      </c>
      <c r="B154" s="97" t="s">
        <v>234</v>
      </c>
      <c r="C154" s="97" t="s">
        <v>144</v>
      </c>
      <c r="D154" s="50" t="s">
        <v>284</v>
      </c>
      <c r="E154" s="97">
        <v>400</v>
      </c>
      <c r="F154" s="103">
        <v>4893257.74</v>
      </c>
      <c r="G154" s="107">
        <f>42134937.3+68493465.03</f>
        <v>110628402.33</v>
      </c>
      <c r="H154" s="38">
        <f>F154+G154</f>
        <v>115521660.06999999</v>
      </c>
      <c r="I154" s="104">
        <f>100460.83-4893257.74</f>
        <v>-4792796.91</v>
      </c>
      <c r="J154" s="38">
        <f>H154+I154</f>
        <v>110728863.16</v>
      </c>
      <c r="K154" s="107">
        <v>0</v>
      </c>
      <c r="L154" s="104">
        <v>0</v>
      </c>
      <c r="M154" s="38">
        <f>K154+L154</f>
        <v>0</v>
      </c>
      <c r="N154" s="103">
        <v>0</v>
      </c>
      <c r="O154" s="104">
        <v>0</v>
      </c>
      <c r="P154" s="38">
        <f>N154+O154</f>
        <v>0</v>
      </c>
    </row>
    <row r="155" spans="1:17" ht="15" customHeight="1" x14ac:dyDescent="0.25">
      <c r="A155" s="34" t="s">
        <v>285</v>
      </c>
      <c r="B155" s="35" t="s">
        <v>234</v>
      </c>
      <c r="C155" s="35" t="s">
        <v>144</v>
      </c>
      <c r="D155" s="36" t="s">
        <v>286</v>
      </c>
      <c r="E155" s="35"/>
      <c r="F155" s="43">
        <f>F156</f>
        <v>3106742.26</v>
      </c>
      <c r="G155" s="43">
        <f>G156</f>
        <v>0</v>
      </c>
      <c r="H155" s="43">
        <f>H156</f>
        <v>3106742.26</v>
      </c>
      <c r="I155" s="43">
        <f>I156</f>
        <v>-3106742.26</v>
      </c>
      <c r="J155" s="43">
        <f>J156</f>
        <v>0</v>
      </c>
      <c r="K155" s="43">
        <f t="shared" ref="K155:N155" si="66">K156</f>
        <v>0</v>
      </c>
      <c r="L155" s="43">
        <f>L156</f>
        <v>0</v>
      </c>
      <c r="M155" s="43">
        <f>M156</f>
        <v>0</v>
      </c>
      <c r="N155" s="43">
        <f t="shared" si="66"/>
        <v>0</v>
      </c>
      <c r="O155" s="43">
        <f>O156</f>
        <v>0</v>
      </c>
      <c r="P155" s="43">
        <f>P156</f>
        <v>0</v>
      </c>
    </row>
    <row r="156" spans="1:17" x14ac:dyDescent="0.25">
      <c r="A156" s="96" t="s">
        <v>169</v>
      </c>
      <c r="B156" s="97" t="s">
        <v>234</v>
      </c>
      <c r="C156" s="97" t="s">
        <v>144</v>
      </c>
      <c r="D156" s="50" t="s">
        <v>286</v>
      </c>
      <c r="E156" s="97">
        <v>400</v>
      </c>
      <c r="F156" s="103">
        <v>3106742.26</v>
      </c>
      <c r="G156" s="103">
        <v>0</v>
      </c>
      <c r="H156" s="38">
        <f>F156+G156</f>
        <v>3106742.26</v>
      </c>
      <c r="I156" s="103">
        <v>-3106742.26</v>
      </c>
      <c r="J156" s="38">
        <f>H156+I156</f>
        <v>0</v>
      </c>
      <c r="K156" s="103">
        <v>0</v>
      </c>
      <c r="L156" s="103">
        <v>0</v>
      </c>
      <c r="M156" s="38">
        <f>K156+L156</f>
        <v>0</v>
      </c>
      <c r="N156" s="103">
        <v>0</v>
      </c>
      <c r="O156" s="103">
        <v>0</v>
      </c>
      <c r="P156" s="38">
        <f>N156+O156</f>
        <v>0</v>
      </c>
    </row>
    <row r="157" spans="1:17" x14ac:dyDescent="0.25">
      <c r="A157" s="30" t="s">
        <v>287</v>
      </c>
      <c r="B157" s="31" t="s">
        <v>234</v>
      </c>
      <c r="C157" s="31" t="s">
        <v>155</v>
      </c>
      <c r="D157" s="32" t="s">
        <v>0</v>
      </c>
      <c r="E157" s="31" t="s">
        <v>0</v>
      </c>
      <c r="F157" s="33">
        <f t="shared" ref="F157:P157" si="67">F158</f>
        <v>70591318.723000005</v>
      </c>
      <c r="G157" s="33">
        <f>G158</f>
        <v>208435942.91</v>
      </c>
      <c r="H157" s="33">
        <f t="shared" si="67"/>
        <v>279027261.63299996</v>
      </c>
      <c r="I157" s="33">
        <f>I158</f>
        <v>-40222445.590000004</v>
      </c>
      <c r="J157" s="33">
        <f t="shared" si="67"/>
        <v>238804816.04299998</v>
      </c>
      <c r="K157" s="33">
        <f t="shared" si="67"/>
        <v>42885704.107000008</v>
      </c>
      <c r="L157" s="33">
        <f>L158</f>
        <v>0</v>
      </c>
      <c r="M157" s="33">
        <f t="shared" si="67"/>
        <v>42885704.107000008</v>
      </c>
      <c r="N157" s="33">
        <f t="shared" si="67"/>
        <v>49928266.609999999</v>
      </c>
      <c r="O157" s="33">
        <f>O158</f>
        <v>0</v>
      </c>
      <c r="P157" s="33">
        <f t="shared" si="67"/>
        <v>49928266.609999999</v>
      </c>
    </row>
    <row r="158" spans="1:17" x14ac:dyDescent="0.25">
      <c r="A158" s="30" t="s">
        <v>250</v>
      </c>
      <c r="B158" s="31" t="s">
        <v>234</v>
      </c>
      <c r="C158" s="31" t="s">
        <v>155</v>
      </c>
      <c r="D158" s="32" t="s">
        <v>251</v>
      </c>
      <c r="E158" s="31" t="s">
        <v>0</v>
      </c>
      <c r="F158" s="33">
        <f>F159+F162</f>
        <v>70591318.723000005</v>
      </c>
      <c r="G158" s="33">
        <f>G159+G162</f>
        <v>208435942.91</v>
      </c>
      <c r="H158" s="33">
        <f>H159+H162</f>
        <v>279027261.63299996</v>
      </c>
      <c r="I158" s="33">
        <f>I159+I162</f>
        <v>-40222445.590000004</v>
      </c>
      <c r="J158" s="33">
        <f>J159+J162</f>
        <v>238804816.04299998</v>
      </c>
      <c r="K158" s="33">
        <f t="shared" ref="K158:N158" si="68">K159+K162</f>
        <v>42885704.107000008</v>
      </c>
      <c r="L158" s="33">
        <f>L159+L162</f>
        <v>0</v>
      </c>
      <c r="M158" s="33">
        <f>M159+M162</f>
        <v>42885704.107000008</v>
      </c>
      <c r="N158" s="33">
        <f t="shared" si="68"/>
        <v>49928266.609999999</v>
      </c>
      <c r="O158" s="33">
        <f>O159+O162</f>
        <v>0</v>
      </c>
      <c r="P158" s="33">
        <f>P159+P162</f>
        <v>49928266.609999999</v>
      </c>
      <c r="Q158" s="95"/>
    </row>
    <row r="159" spans="1:17" x14ac:dyDescent="0.25">
      <c r="A159" s="30" t="s">
        <v>288</v>
      </c>
      <c r="B159" s="31" t="s">
        <v>234</v>
      </c>
      <c r="C159" s="31" t="s">
        <v>155</v>
      </c>
      <c r="D159" s="32" t="s">
        <v>289</v>
      </c>
      <c r="E159" s="31" t="s">
        <v>0</v>
      </c>
      <c r="F159" s="33">
        <f t="shared" ref="F159:P160" si="69">F160</f>
        <v>1125000</v>
      </c>
      <c r="G159" s="33">
        <f>G160</f>
        <v>4567811.45</v>
      </c>
      <c r="H159" s="33">
        <f t="shared" si="69"/>
        <v>5692811.4500000002</v>
      </c>
      <c r="I159" s="33">
        <f>I160</f>
        <v>0</v>
      </c>
      <c r="J159" s="33">
        <f t="shared" si="69"/>
        <v>5692811.4500000002</v>
      </c>
      <c r="K159" s="33">
        <f t="shared" si="69"/>
        <v>0</v>
      </c>
      <c r="L159" s="33">
        <f>L160</f>
        <v>0</v>
      </c>
      <c r="M159" s="33">
        <f t="shared" si="69"/>
        <v>0</v>
      </c>
      <c r="N159" s="33">
        <f t="shared" si="69"/>
        <v>0</v>
      </c>
      <c r="O159" s="33">
        <f>O160</f>
        <v>0</v>
      </c>
      <c r="P159" s="33">
        <f t="shared" si="69"/>
        <v>0</v>
      </c>
    </row>
    <row r="160" spans="1:17" x14ac:dyDescent="0.25">
      <c r="A160" s="34" t="s">
        <v>290</v>
      </c>
      <c r="B160" s="35" t="s">
        <v>234</v>
      </c>
      <c r="C160" s="35" t="s">
        <v>155</v>
      </c>
      <c r="D160" s="36" t="s">
        <v>289</v>
      </c>
      <c r="E160" s="35" t="s">
        <v>0</v>
      </c>
      <c r="F160" s="43">
        <f t="shared" si="69"/>
        <v>1125000</v>
      </c>
      <c r="G160" s="43">
        <f t="shared" si="69"/>
        <v>4567811.45</v>
      </c>
      <c r="H160" s="43">
        <f t="shared" si="69"/>
        <v>5692811.4500000002</v>
      </c>
      <c r="I160" s="43">
        <f t="shared" si="69"/>
        <v>0</v>
      </c>
      <c r="J160" s="43">
        <f t="shared" si="69"/>
        <v>5692811.4500000002</v>
      </c>
      <c r="K160" s="43">
        <f t="shared" si="69"/>
        <v>0</v>
      </c>
      <c r="L160" s="43">
        <f t="shared" si="69"/>
        <v>0</v>
      </c>
      <c r="M160" s="43">
        <f t="shared" si="69"/>
        <v>0</v>
      </c>
      <c r="N160" s="43">
        <f t="shared" si="69"/>
        <v>0</v>
      </c>
      <c r="O160" s="43">
        <f t="shared" si="69"/>
        <v>0</v>
      </c>
      <c r="P160" s="43">
        <f t="shared" si="69"/>
        <v>0</v>
      </c>
      <c r="Q160" s="95"/>
    </row>
    <row r="161" spans="1:16" ht="30" x14ac:dyDescent="0.25">
      <c r="A161" s="96" t="s">
        <v>153</v>
      </c>
      <c r="B161" s="97" t="s">
        <v>234</v>
      </c>
      <c r="C161" s="97" t="s">
        <v>155</v>
      </c>
      <c r="D161" s="98" t="s">
        <v>289</v>
      </c>
      <c r="E161" s="97" t="s">
        <v>158</v>
      </c>
      <c r="F161" s="103">
        <v>1125000</v>
      </c>
      <c r="G161" s="103">
        <v>4567811.45</v>
      </c>
      <c r="H161" s="38">
        <f>F161+G161</f>
        <v>5692811.4500000002</v>
      </c>
      <c r="I161" s="103">
        <v>0</v>
      </c>
      <c r="J161" s="38">
        <f>H161+I161</f>
        <v>5692811.4500000002</v>
      </c>
      <c r="K161" s="103">
        <v>0</v>
      </c>
      <c r="L161" s="103">
        <v>0</v>
      </c>
      <c r="M161" s="38">
        <f>K161+L161</f>
        <v>0</v>
      </c>
      <c r="N161" s="103">
        <v>0</v>
      </c>
      <c r="O161" s="103">
        <v>0</v>
      </c>
      <c r="P161" s="38">
        <f>N161+O161</f>
        <v>0</v>
      </c>
    </row>
    <row r="162" spans="1:16" x14ac:dyDescent="0.25">
      <c r="A162" s="34" t="s">
        <v>165</v>
      </c>
      <c r="B162" s="31" t="s">
        <v>234</v>
      </c>
      <c r="C162" s="31" t="s">
        <v>155</v>
      </c>
      <c r="D162" s="32" t="s">
        <v>252</v>
      </c>
      <c r="E162" s="31"/>
      <c r="F162" s="42">
        <f>F163+F165+F167+F170+F172+F177+F185</f>
        <v>69466318.723000005</v>
      </c>
      <c r="G162" s="42">
        <f>G163+G165+G167+G170+G172+G177+G185+G183+G181</f>
        <v>203868131.46000001</v>
      </c>
      <c r="H162" s="42">
        <f>H163+H165+H167+H170+H172+H177+H185+H183+H181</f>
        <v>273334450.18299997</v>
      </c>
      <c r="I162" s="42">
        <f>I163+I165+I167+I170+I172+I177+I185+I183+I181</f>
        <v>-40222445.590000004</v>
      </c>
      <c r="J162" s="42">
        <f>J163+J165+J167+J170+J172+J177+J185+J183+J181</f>
        <v>233112004.59299999</v>
      </c>
      <c r="K162" s="42">
        <f t="shared" ref="K162:N162" si="70">K163+K165+K167+K170+K172+K177+K185+K183</f>
        <v>42885704.107000008</v>
      </c>
      <c r="L162" s="42">
        <f>L163+L165+L167+L170+L172+L177+L185+L183+L181</f>
        <v>0</v>
      </c>
      <c r="M162" s="42">
        <f>M163+M165+M167+M170+M172+M177+M185+M183+M181</f>
        <v>42885704.107000008</v>
      </c>
      <c r="N162" s="42">
        <f t="shared" si="70"/>
        <v>49928266.609999999</v>
      </c>
      <c r="O162" s="42">
        <f>O163+O165+O167+O170+O172+O177+O185+O183+O181</f>
        <v>0</v>
      </c>
      <c r="P162" s="42">
        <f>P163+P165+P167+P170+P172+P177+P185+P183+P181</f>
        <v>49928266.609999999</v>
      </c>
    </row>
    <row r="163" spans="1:16" x14ac:dyDescent="0.25">
      <c r="A163" s="96" t="s">
        <v>291</v>
      </c>
      <c r="B163" s="35" t="s">
        <v>234</v>
      </c>
      <c r="C163" s="35" t="s">
        <v>155</v>
      </c>
      <c r="D163" s="36" t="s">
        <v>292</v>
      </c>
      <c r="E163" s="35"/>
      <c r="F163" s="43">
        <f>F164</f>
        <v>14372435.892999999</v>
      </c>
      <c r="G163" s="43">
        <f>G164</f>
        <v>389811.13</v>
      </c>
      <c r="H163" s="43">
        <f>H164</f>
        <v>14762247.023</v>
      </c>
      <c r="I163" s="43">
        <f>I164</f>
        <v>0</v>
      </c>
      <c r="J163" s="43">
        <f>J164</f>
        <v>14762247.023</v>
      </c>
      <c r="K163" s="43">
        <f t="shared" ref="K163:N163" si="71">K164</f>
        <v>13274985.487</v>
      </c>
      <c r="L163" s="43">
        <f>L164</f>
        <v>0</v>
      </c>
      <c r="M163" s="43">
        <f>M164</f>
        <v>13274985.487</v>
      </c>
      <c r="N163" s="43">
        <f t="shared" si="71"/>
        <v>13479543.75</v>
      </c>
      <c r="O163" s="43">
        <f>O164</f>
        <v>0</v>
      </c>
      <c r="P163" s="43">
        <f>P164</f>
        <v>13479543.75</v>
      </c>
    </row>
    <row r="164" spans="1:16" ht="15" customHeight="1" x14ac:dyDescent="0.25">
      <c r="A164" s="96" t="s">
        <v>153</v>
      </c>
      <c r="B164" s="97" t="s">
        <v>234</v>
      </c>
      <c r="C164" s="97" t="s">
        <v>155</v>
      </c>
      <c r="D164" s="98" t="s">
        <v>292</v>
      </c>
      <c r="E164" s="97">
        <v>200</v>
      </c>
      <c r="F164" s="103">
        <v>14372435.892999999</v>
      </c>
      <c r="G164" s="103">
        <v>389811.13</v>
      </c>
      <c r="H164" s="38">
        <f>F164+G164</f>
        <v>14762247.023</v>
      </c>
      <c r="I164" s="103">
        <v>0</v>
      </c>
      <c r="J164" s="38">
        <f>H164+I164</f>
        <v>14762247.023</v>
      </c>
      <c r="K164" s="103">
        <v>13274985.487</v>
      </c>
      <c r="L164" s="103">
        <v>0</v>
      </c>
      <c r="M164" s="38">
        <f>K164+L164</f>
        <v>13274985.487</v>
      </c>
      <c r="N164" s="103">
        <v>13479543.75</v>
      </c>
      <c r="O164" s="103">
        <v>0</v>
      </c>
      <c r="P164" s="38">
        <f>N164+O164</f>
        <v>13479543.75</v>
      </c>
    </row>
    <row r="165" spans="1:16" ht="15" customHeight="1" x14ac:dyDescent="0.25">
      <c r="A165" s="34" t="s">
        <v>293</v>
      </c>
      <c r="B165" s="35" t="s">
        <v>234</v>
      </c>
      <c r="C165" s="35" t="s">
        <v>155</v>
      </c>
      <c r="D165" s="36" t="s">
        <v>294</v>
      </c>
      <c r="E165" s="35" t="s">
        <v>0</v>
      </c>
      <c r="F165" s="37">
        <f>F166</f>
        <v>4000000</v>
      </c>
      <c r="G165" s="37">
        <f>G166</f>
        <v>9009000</v>
      </c>
      <c r="H165" s="37">
        <f>H166</f>
        <v>13009000</v>
      </c>
      <c r="I165" s="37">
        <f>I166</f>
        <v>812903</v>
      </c>
      <c r="J165" s="37">
        <f>J166</f>
        <v>13821903</v>
      </c>
      <c r="K165" s="37">
        <f t="shared" ref="K165:N165" si="72">K166</f>
        <v>0</v>
      </c>
      <c r="L165" s="37">
        <f>L166</f>
        <v>0</v>
      </c>
      <c r="M165" s="37">
        <f>M166</f>
        <v>0</v>
      </c>
      <c r="N165" s="37">
        <f t="shared" si="72"/>
        <v>2678000</v>
      </c>
      <c r="O165" s="37">
        <f>O166</f>
        <v>0</v>
      </c>
      <c r="P165" s="37">
        <f>P166</f>
        <v>2678000</v>
      </c>
    </row>
    <row r="166" spans="1:16" ht="30" x14ac:dyDescent="0.25">
      <c r="A166" s="96" t="s">
        <v>153</v>
      </c>
      <c r="B166" s="97" t="s">
        <v>234</v>
      </c>
      <c r="C166" s="97" t="s">
        <v>155</v>
      </c>
      <c r="D166" s="98" t="s">
        <v>294</v>
      </c>
      <c r="E166" s="97" t="s">
        <v>158</v>
      </c>
      <c r="F166" s="103">
        <v>4000000</v>
      </c>
      <c r="G166" s="103">
        <v>9009000</v>
      </c>
      <c r="H166" s="38">
        <f>F166+G166</f>
        <v>13009000</v>
      </c>
      <c r="I166" s="103">
        <v>812903</v>
      </c>
      <c r="J166" s="38">
        <f>H166+I166</f>
        <v>13821903</v>
      </c>
      <c r="K166" s="103">
        <v>0</v>
      </c>
      <c r="L166" s="103">
        <v>0</v>
      </c>
      <c r="M166" s="38">
        <f>K166+L166</f>
        <v>0</v>
      </c>
      <c r="N166" s="103">
        <v>2678000</v>
      </c>
      <c r="O166" s="103">
        <v>0</v>
      </c>
      <c r="P166" s="38">
        <f>N166+O166</f>
        <v>2678000</v>
      </c>
    </row>
    <row r="167" spans="1:16" ht="12" customHeight="1" x14ac:dyDescent="0.25">
      <c r="A167" s="34" t="s">
        <v>295</v>
      </c>
      <c r="B167" s="35" t="s">
        <v>234</v>
      </c>
      <c r="C167" s="35" t="s">
        <v>155</v>
      </c>
      <c r="D167" s="36" t="s">
        <v>296</v>
      </c>
      <c r="E167" s="35" t="s">
        <v>0</v>
      </c>
      <c r="F167" s="43">
        <f>F169+F168</f>
        <v>5160135.26</v>
      </c>
      <c r="G167" s="43">
        <f>G169+G168</f>
        <v>1394593</v>
      </c>
      <c r="H167" s="43">
        <f>H169+H168</f>
        <v>6554728.2599999998</v>
      </c>
      <c r="I167" s="43">
        <f>I169+I168</f>
        <v>0</v>
      </c>
      <c r="J167" s="43">
        <f>J169+J168</f>
        <v>6554728.2599999998</v>
      </c>
      <c r="K167" s="43">
        <f t="shared" ref="K167:N167" si="73">K169+K168</f>
        <v>5376860.9399999995</v>
      </c>
      <c r="L167" s="43">
        <f>L169+L168</f>
        <v>0</v>
      </c>
      <c r="M167" s="43">
        <f>M169+M168</f>
        <v>5376860.9399999995</v>
      </c>
      <c r="N167" s="43">
        <f t="shared" si="73"/>
        <v>5376860.9399999995</v>
      </c>
      <c r="O167" s="43">
        <f>O169+O168</f>
        <v>0</v>
      </c>
      <c r="P167" s="43">
        <f>P169+P168</f>
        <v>5376860.9399999995</v>
      </c>
    </row>
    <row r="168" spans="1:16" ht="30" hidden="1" x14ac:dyDescent="0.25">
      <c r="A168" s="96" t="s">
        <v>153</v>
      </c>
      <c r="B168" s="97" t="s">
        <v>234</v>
      </c>
      <c r="C168" s="97" t="s">
        <v>155</v>
      </c>
      <c r="D168" s="98" t="s">
        <v>296</v>
      </c>
      <c r="E168" s="97" t="s">
        <v>158</v>
      </c>
      <c r="F168" s="51">
        <v>0</v>
      </c>
      <c r="G168" s="51">
        <v>0</v>
      </c>
      <c r="H168" s="38">
        <f>F168+G168</f>
        <v>0</v>
      </c>
      <c r="I168" s="51">
        <v>0</v>
      </c>
      <c r="J168" s="38">
        <f>H168+I168</f>
        <v>0</v>
      </c>
      <c r="K168" s="51">
        <v>0</v>
      </c>
      <c r="L168" s="51">
        <v>0</v>
      </c>
      <c r="M168" s="38">
        <f>K168+L168</f>
        <v>0</v>
      </c>
      <c r="N168" s="51">
        <v>0</v>
      </c>
      <c r="O168" s="51">
        <v>0</v>
      </c>
      <c r="P168" s="38">
        <f>N168+O168</f>
        <v>0</v>
      </c>
    </row>
    <row r="169" spans="1:16" x14ac:dyDescent="0.25">
      <c r="A169" s="66" t="s">
        <v>297</v>
      </c>
      <c r="B169" s="97" t="s">
        <v>234</v>
      </c>
      <c r="C169" s="97" t="s">
        <v>155</v>
      </c>
      <c r="D169" s="98" t="s">
        <v>296</v>
      </c>
      <c r="E169" s="98" t="s">
        <v>298</v>
      </c>
      <c r="F169" s="103">
        <v>5160135.26</v>
      </c>
      <c r="G169" s="44">
        <v>1394593</v>
      </c>
      <c r="H169" s="38">
        <f>F169+G169</f>
        <v>6554728.2599999998</v>
      </c>
      <c r="I169" s="44">
        <v>0</v>
      </c>
      <c r="J169" s="38">
        <f>H169+I169</f>
        <v>6554728.2599999998</v>
      </c>
      <c r="K169" s="103">
        <v>5376860.9399999995</v>
      </c>
      <c r="L169" s="44">
        <v>0</v>
      </c>
      <c r="M169" s="38">
        <f>K169+L169</f>
        <v>5376860.9399999995</v>
      </c>
      <c r="N169" s="103">
        <v>5376860.9399999995</v>
      </c>
      <c r="O169" s="44">
        <v>0</v>
      </c>
      <c r="P169" s="38">
        <f>N169+O169</f>
        <v>5376860.9399999995</v>
      </c>
    </row>
    <row r="170" spans="1:16" x14ac:dyDescent="0.25">
      <c r="A170" s="96" t="s">
        <v>299</v>
      </c>
      <c r="B170" s="35" t="s">
        <v>234</v>
      </c>
      <c r="C170" s="35" t="s">
        <v>155</v>
      </c>
      <c r="D170" s="36" t="s">
        <v>300</v>
      </c>
      <c r="E170" s="35" t="s">
        <v>0</v>
      </c>
      <c r="F170" s="43">
        <f>F171</f>
        <v>19092615.09</v>
      </c>
      <c r="G170" s="43">
        <f>G171</f>
        <v>1466294.73</v>
      </c>
      <c r="H170" s="43">
        <f>H171</f>
        <v>20558909.82</v>
      </c>
      <c r="I170" s="43">
        <f>I171</f>
        <v>0</v>
      </c>
      <c r="J170" s="43">
        <f>J171</f>
        <v>20558909.82</v>
      </c>
      <c r="K170" s="43">
        <f t="shared" ref="K170:N170" si="74">K171</f>
        <v>19092615.09</v>
      </c>
      <c r="L170" s="43">
        <f>L171</f>
        <v>0</v>
      </c>
      <c r="M170" s="43">
        <f>M171</f>
        <v>19092615.09</v>
      </c>
      <c r="N170" s="43">
        <f t="shared" si="74"/>
        <v>19287666.829999998</v>
      </c>
      <c r="O170" s="43">
        <f>O171</f>
        <v>0</v>
      </c>
      <c r="P170" s="43">
        <f>P171</f>
        <v>19287666.829999998</v>
      </c>
    </row>
    <row r="171" spans="1:16" ht="30" x14ac:dyDescent="0.25">
      <c r="A171" s="96" t="s">
        <v>153</v>
      </c>
      <c r="B171" s="97" t="s">
        <v>234</v>
      </c>
      <c r="C171" s="97" t="s">
        <v>155</v>
      </c>
      <c r="D171" s="98" t="s">
        <v>300</v>
      </c>
      <c r="E171" s="97" t="s">
        <v>158</v>
      </c>
      <c r="F171" s="103">
        <v>19092615.09</v>
      </c>
      <c r="G171" s="103">
        <f>905000+561294.73</f>
        <v>1466294.73</v>
      </c>
      <c r="H171" s="38">
        <f>F171+G171</f>
        <v>20558909.82</v>
      </c>
      <c r="I171" s="103">
        <v>0</v>
      </c>
      <c r="J171" s="38">
        <f>H171+I171</f>
        <v>20558909.82</v>
      </c>
      <c r="K171" s="103">
        <v>19092615.09</v>
      </c>
      <c r="L171" s="103">
        <v>0</v>
      </c>
      <c r="M171" s="38">
        <f>K171+L171</f>
        <v>19092615.09</v>
      </c>
      <c r="N171" s="103">
        <v>19287666.829999998</v>
      </c>
      <c r="O171" s="103">
        <v>0</v>
      </c>
      <c r="P171" s="38">
        <f>N171+O171</f>
        <v>19287666.829999998</v>
      </c>
    </row>
    <row r="172" spans="1:16" x14ac:dyDescent="0.25">
      <c r="A172" s="34" t="s">
        <v>301</v>
      </c>
      <c r="B172" s="35" t="s">
        <v>234</v>
      </c>
      <c r="C172" s="35" t="s">
        <v>155</v>
      </c>
      <c r="D172" s="36" t="s">
        <v>302</v>
      </c>
      <c r="E172" s="35" t="s">
        <v>0</v>
      </c>
      <c r="F172" s="43">
        <f>F173+F174+F175+F176</f>
        <v>20942536.330000002</v>
      </c>
      <c r="G172" s="43">
        <f>G173+G174+G175+G176</f>
        <v>73234391.010000005</v>
      </c>
      <c r="H172" s="43">
        <f t="shared" ref="H172:N172" si="75">H173+H174+H175+H176</f>
        <v>94176927.340000018</v>
      </c>
      <c r="I172" s="43">
        <f>I173+I174+I175+I176</f>
        <v>-1700000</v>
      </c>
      <c r="J172" s="43">
        <f t="shared" ref="J172" si="76">J173+J174+J175+J176</f>
        <v>92476927.340000004</v>
      </c>
      <c r="K172" s="43">
        <f t="shared" si="75"/>
        <v>3641242.59</v>
      </c>
      <c r="L172" s="43">
        <f>L173+L174+L175+L176</f>
        <v>0</v>
      </c>
      <c r="M172" s="43">
        <f t="shared" ref="M172" si="77">M173+M174+M175+M176</f>
        <v>3641242.59</v>
      </c>
      <c r="N172" s="43">
        <f t="shared" si="75"/>
        <v>7606195.0899999999</v>
      </c>
      <c r="O172" s="43">
        <f>O173+O174+O175+O176</f>
        <v>0</v>
      </c>
      <c r="P172" s="43">
        <f t="shared" ref="P172" si="78">P173+P174+P175+P176</f>
        <v>7606195.0899999999</v>
      </c>
    </row>
    <row r="173" spans="1:16" ht="30" x14ac:dyDescent="0.25">
      <c r="A173" s="96" t="s">
        <v>153</v>
      </c>
      <c r="B173" s="97" t="s">
        <v>234</v>
      </c>
      <c r="C173" s="97" t="s">
        <v>155</v>
      </c>
      <c r="D173" s="98" t="s">
        <v>302</v>
      </c>
      <c r="E173" s="97" t="s">
        <v>158</v>
      </c>
      <c r="F173" s="103">
        <v>16586261.779999999</v>
      </c>
      <c r="G173" s="44">
        <v>70142748.260000005</v>
      </c>
      <c r="H173" s="38">
        <f>F173+G173</f>
        <v>86729010.040000007</v>
      </c>
      <c r="I173" s="44">
        <f>2535279.65-321234.33-222.29-419154.64-107544.77-224275.9-71204.97</f>
        <v>1391642.7499999998</v>
      </c>
      <c r="J173" s="38">
        <f>H173+I173</f>
        <v>88120652.790000007</v>
      </c>
      <c r="K173" s="103">
        <v>3641242.59</v>
      </c>
      <c r="L173" s="44">
        <v>0</v>
      </c>
      <c r="M173" s="38">
        <f>K173+L173</f>
        <v>3641242.59</v>
      </c>
      <c r="N173" s="103">
        <v>7056195.0899999999</v>
      </c>
      <c r="O173" s="44">
        <v>0</v>
      </c>
      <c r="P173" s="38">
        <f>N173+O173</f>
        <v>7056195.0899999999</v>
      </c>
    </row>
    <row r="174" spans="1:16" x14ac:dyDescent="0.25">
      <c r="A174" s="96" t="s">
        <v>209</v>
      </c>
      <c r="B174" s="97" t="s">
        <v>234</v>
      </c>
      <c r="C174" s="97" t="s">
        <v>155</v>
      </c>
      <c r="D174" s="98" t="s">
        <v>302</v>
      </c>
      <c r="E174" s="97" t="s">
        <v>210</v>
      </c>
      <c r="F174" s="103">
        <v>550000</v>
      </c>
      <c r="G174" s="103">
        <v>0</v>
      </c>
      <c r="H174" s="38">
        <f>F174+G174</f>
        <v>550000</v>
      </c>
      <c r="I174" s="103">
        <v>0</v>
      </c>
      <c r="J174" s="38">
        <f>H174+I174</f>
        <v>550000</v>
      </c>
      <c r="K174" s="103">
        <v>0</v>
      </c>
      <c r="L174" s="103">
        <v>0</v>
      </c>
      <c r="M174" s="38">
        <f>K174+L174</f>
        <v>0</v>
      </c>
      <c r="N174" s="103">
        <v>550000</v>
      </c>
      <c r="O174" s="103">
        <v>0</v>
      </c>
      <c r="P174" s="38">
        <f>N174+O174</f>
        <v>550000</v>
      </c>
    </row>
    <row r="175" spans="1:16" ht="11.25" customHeight="1" x14ac:dyDescent="0.25">
      <c r="A175" s="66" t="s">
        <v>169</v>
      </c>
      <c r="B175" s="97" t="s">
        <v>234</v>
      </c>
      <c r="C175" s="97" t="s">
        <v>155</v>
      </c>
      <c r="D175" s="98" t="s">
        <v>302</v>
      </c>
      <c r="E175" s="97" t="s">
        <v>171</v>
      </c>
      <c r="F175" s="103">
        <v>3806274.55</v>
      </c>
      <c r="G175" s="44">
        <v>556363.1</v>
      </c>
      <c r="H175" s="38">
        <f>F175+G175</f>
        <v>4362637.6499999994</v>
      </c>
      <c r="I175" s="44">
        <v>-556363.1</v>
      </c>
      <c r="J175" s="38">
        <f>H175+I175</f>
        <v>3806274.5499999993</v>
      </c>
      <c r="K175" s="103">
        <v>0</v>
      </c>
      <c r="L175" s="44">
        <v>0</v>
      </c>
      <c r="M175" s="38">
        <f>K175+L175</f>
        <v>0</v>
      </c>
      <c r="N175" s="103">
        <v>0</v>
      </c>
      <c r="O175" s="44">
        <v>0</v>
      </c>
      <c r="P175" s="38">
        <f>N175+O175</f>
        <v>0</v>
      </c>
    </row>
    <row r="176" spans="1:16" ht="12" customHeight="1" x14ac:dyDescent="0.25">
      <c r="A176" s="66" t="s">
        <v>297</v>
      </c>
      <c r="B176" s="97" t="s">
        <v>234</v>
      </c>
      <c r="C176" s="97" t="s">
        <v>155</v>
      </c>
      <c r="D176" s="98" t="s">
        <v>302</v>
      </c>
      <c r="E176" s="97">
        <v>600</v>
      </c>
      <c r="F176" s="103">
        <v>0</v>
      </c>
      <c r="G176" s="44">
        <v>2535279.65</v>
      </c>
      <c r="H176" s="67">
        <f>F176+G176</f>
        <v>2535279.65</v>
      </c>
      <c r="I176" s="44">
        <v>-2535279.65</v>
      </c>
      <c r="J176" s="67">
        <f>H176+I176</f>
        <v>0</v>
      </c>
      <c r="K176" s="103">
        <v>0</v>
      </c>
      <c r="L176" s="44">
        <v>0</v>
      </c>
      <c r="M176" s="67">
        <f>K176+L176</f>
        <v>0</v>
      </c>
      <c r="N176" s="103">
        <v>0</v>
      </c>
      <c r="O176" s="44">
        <v>0</v>
      </c>
      <c r="P176" s="67">
        <f>N176+O176</f>
        <v>0</v>
      </c>
    </row>
    <row r="177" spans="1:16" x14ac:dyDescent="0.25">
      <c r="A177" s="34" t="s">
        <v>303</v>
      </c>
      <c r="B177" s="35" t="s">
        <v>234</v>
      </c>
      <c r="C177" s="35" t="s">
        <v>155</v>
      </c>
      <c r="D177" s="36" t="s">
        <v>304</v>
      </c>
      <c r="E177" s="35"/>
      <c r="F177" s="43">
        <f>F178+F179+F180</f>
        <v>4164847</v>
      </c>
      <c r="G177" s="43">
        <f t="shared" ref="G177:P177" si="79">G178+G179+G180</f>
        <v>91143533.979999989</v>
      </c>
      <c r="H177" s="43">
        <f t="shared" si="79"/>
        <v>95308380.979999989</v>
      </c>
      <c r="I177" s="43">
        <f t="shared" si="79"/>
        <v>-26036596.050000004</v>
      </c>
      <c r="J177" s="43">
        <f t="shared" si="79"/>
        <v>69271784.929999977</v>
      </c>
      <c r="K177" s="43">
        <f t="shared" si="79"/>
        <v>0</v>
      </c>
      <c r="L177" s="43">
        <f t="shared" si="79"/>
        <v>0</v>
      </c>
      <c r="M177" s="43">
        <f t="shared" si="79"/>
        <v>0</v>
      </c>
      <c r="N177" s="43">
        <f t="shared" si="79"/>
        <v>0</v>
      </c>
      <c r="O177" s="43">
        <f t="shared" si="79"/>
        <v>0</v>
      </c>
      <c r="P177" s="43">
        <f t="shared" si="79"/>
        <v>0</v>
      </c>
    </row>
    <row r="178" spans="1:16" ht="30" x14ac:dyDescent="0.25">
      <c r="A178" s="96" t="s">
        <v>153</v>
      </c>
      <c r="B178" s="97" t="s">
        <v>234</v>
      </c>
      <c r="C178" s="97" t="s">
        <v>155</v>
      </c>
      <c r="D178" s="98" t="s">
        <v>304</v>
      </c>
      <c r="E178" s="97">
        <v>200</v>
      </c>
      <c r="F178" s="103">
        <v>4164847</v>
      </c>
      <c r="G178" s="44">
        <v>29899504</v>
      </c>
      <c r="H178" s="38">
        <f>F178+G178</f>
        <v>34064351</v>
      </c>
      <c r="I178" s="44">
        <f>1700000+3000000+1000000+6300000</f>
        <v>12000000</v>
      </c>
      <c r="J178" s="38">
        <f>H178+I178</f>
        <v>46064351</v>
      </c>
      <c r="K178" s="103">
        <v>0</v>
      </c>
      <c r="L178" s="44">
        <v>0</v>
      </c>
      <c r="M178" s="38">
        <f>K178+L178</f>
        <v>0</v>
      </c>
      <c r="N178" s="103">
        <v>0</v>
      </c>
      <c r="O178" s="44">
        <v>0</v>
      </c>
      <c r="P178" s="38">
        <f>N178+O178</f>
        <v>0</v>
      </c>
    </row>
    <row r="179" spans="1:16" x14ac:dyDescent="0.25">
      <c r="A179" s="66" t="s">
        <v>169</v>
      </c>
      <c r="B179" s="97" t="s">
        <v>234</v>
      </c>
      <c r="C179" s="97" t="s">
        <v>155</v>
      </c>
      <c r="D179" s="98" t="s">
        <v>304</v>
      </c>
      <c r="E179" s="97">
        <v>400</v>
      </c>
      <c r="F179" s="108">
        <v>0</v>
      </c>
      <c r="G179" s="109">
        <v>31537267.579999998</v>
      </c>
      <c r="H179" s="68">
        <f>F179+G179</f>
        <v>31537267.579999998</v>
      </c>
      <c r="I179" s="109">
        <f>-3480384.93-6991684.67</f>
        <v>-10472069.6</v>
      </c>
      <c r="J179" s="68">
        <f>H179+I179</f>
        <v>21065197.979999997</v>
      </c>
      <c r="K179" s="110">
        <v>0</v>
      </c>
      <c r="L179" s="109">
        <v>0</v>
      </c>
      <c r="M179" s="68">
        <f>K179+L179</f>
        <v>0</v>
      </c>
      <c r="N179" s="108">
        <v>0</v>
      </c>
      <c r="O179" s="109">
        <v>0</v>
      </c>
      <c r="P179" s="68">
        <f>N179+O179</f>
        <v>0</v>
      </c>
    </row>
    <row r="180" spans="1:16" ht="30" x14ac:dyDescent="0.25">
      <c r="A180" s="105" t="s">
        <v>305</v>
      </c>
      <c r="B180" s="97" t="s">
        <v>234</v>
      </c>
      <c r="C180" s="97" t="s">
        <v>155</v>
      </c>
      <c r="D180" s="98" t="s">
        <v>304</v>
      </c>
      <c r="E180" s="111">
        <v>600</v>
      </c>
      <c r="F180" s="1">
        <v>0</v>
      </c>
      <c r="G180" s="1">
        <f>990354.3+24279436.93+4436971.17</f>
        <v>29706762.399999999</v>
      </c>
      <c r="H180" s="40">
        <f>F180+G180</f>
        <v>29706762.399999999</v>
      </c>
      <c r="I180" s="1">
        <f>1151881.65-28716408.1</f>
        <v>-27564526.450000003</v>
      </c>
      <c r="J180" s="40">
        <f>H180+I180</f>
        <v>2142235.9499999955</v>
      </c>
      <c r="K180" s="1">
        <v>0</v>
      </c>
      <c r="L180" s="1">
        <v>0</v>
      </c>
      <c r="M180" s="40">
        <f>K180+L180</f>
        <v>0</v>
      </c>
      <c r="N180" s="1">
        <v>0</v>
      </c>
      <c r="O180" s="1">
        <v>0</v>
      </c>
      <c r="P180" s="40">
        <f>N180+O180</f>
        <v>0</v>
      </c>
    </row>
    <row r="181" spans="1:16" ht="40.5" x14ac:dyDescent="0.25">
      <c r="A181" s="34" t="s">
        <v>306</v>
      </c>
      <c r="B181" s="35" t="s">
        <v>234</v>
      </c>
      <c r="C181" s="35" t="s">
        <v>155</v>
      </c>
      <c r="D181" s="36" t="s">
        <v>307</v>
      </c>
      <c r="E181" s="69"/>
      <c r="F181" s="70">
        <f>F182</f>
        <v>0</v>
      </c>
      <c r="G181" s="70">
        <f>G182</f>
        <v>6000000</v>
      </c>
      <c r="H181" s="70">
        <f t="shared" ref="H181:P181" si="80">H182</f>
        <v>6000000</v>
      </c>
      <c r="I181" s="70">
        <f>I182</f>
        <v>701247.46</v>
      </c>
      <c r="J181" s="70">
        <f t="shared" si="80"/>
        <v>6701247.46</v>
      </c>
      <c r="K181" s="70">
        <f t="shared" si="80"/>
        <v>0</v>
      </c>
      <c r="L181" s="70">
        <f>L182</f>
        <v>0</v>
      </c>
      <c r="M181" s="70">
        <f t="shared" si="80"/>
        <v>0</v>
      </c>
      <c r="N181" s="70">
        <f t="shared" si="80"/>
        <v>0</v>
      </c>
      <c r="O181" s="70">
        <f>O182</f>
        <v>0</v>
      </c>
      <c r="P181" s="70">
        <f t="shared" si="80"/>
        <v>0</v>
      </c>
    </row>
    <row r="182" spans="1:16" ht="30" x14ac:dyDescent="0.25">
      <c r="A182" s="96" t="s">
        <v>153</v>
      </c>
      <c r="B182" s="97" t="s">
        <v>234</v>
      </c>
      <c r="C182" s="97" t="s">
        <v>155</v>
      </c>
      <c r="D182" s="98" t="s">
        <v>307</v>
      </c>
      <c r="E182" s="111">
        <v>200</v>
      </c>
      <c r="F182" s="1">
        <v>0</v>
      </c>
      <c r="G182" s="1">
        <v>6000000</v>
      </c>
      <c r="H182" s="40">
        <f>G182+F182</f>
        <v>6000000</v>
      </c>
      <c r="I182" s="1">
        <v>701247.46</v>
      </c>
      <c r="J182" s="40">
        <f>I182+H182</f>
        <v>6701247.46</v>
      </c>
      <c r="K182" s="1">
        <v>0</v>
      </c>
      <c r="L182" s="1">
        <v>0</v>
      </c>
      <c r="M182" s="40">
        <f>L182+K182</f>
        <v>0</v>
      </c>
      <c r="N182" s="1">
        <v>0</v>
      </c>
      <c r="O182" s="1">
        <v>0</v>
      </c>
      <c r="P182" s="40">
        <f>O182+N182</f>
        <v>0</v>
      </c>
    </row>
    <row r="183" spans="1:16" ht="54" x14ac:dyDescent="0.25">
      <c r="A183" s="34" t="s">
        <v>308</v>
      </c>
      <c r="B183" s="35" t="s">
        <v>234</v>
      </c>
      <c r="C183" s="35" t="s">
        <v>155</v>
      </c>
      <c r="D183" s="36" t="s">
        <v>309</v>
      </c>
      <c r="E183" s="71"/>
      <c r="F183" s="70">
        <f>F184</f>
        <v>0</v>
      </c>
      <c r="G183" s="70">
        <f t="shared" ref="G183:P183" si="81">G184</f>
        <v>21000000</v>
      </c>
      <c r="H183" s="70">
        <f t="shared" si="81"/>
        <v>21000000</v>
      </c>
      <c r="I183" s="70">
        <f t="shared" si="81"/>
        <v>-14000000</v>
      </c>
      <c r="J183" s="70">
        <f t="shared" si="81"/>
        <v>7000000</v>
      </c>
      <c r="K183" s="70">
        <f t="shared" si="81"/>
        <v>0</v>
      </c>
      <c r="L183" s="70">
        <f t="shared" si="81"/>
        <v>0</v>
      </c>
      <c r="M183" s="70">
        <f t="shared" si="81"/>
        <v>0</v>
      </c>
      <c r="N183" s="70">
        <f t="shared" si="81"/>
        <v>0</v>
      </c>
      <c r="O183" s="70">
        <f t="shared" si="81"/>
        <v>0</v>
      </c>
      <c r="P183" s="70">
        <f t="shared" si="81"/>
        <v>0</v>
      </c>
    </row>
    <row r="184" spans="1:16" ht="30" x14ac:dyDescent="0.25">
      <c r="A184" s="96" t="s">
        <v>153</v>
      </c>
      <c r="B184" s="97" t="s">
        <v>234</v>
      </c>
      <c r="C184" s="97" t="s">
        <v>155</v>
      </c>
      <c r="D184" s="98" t="s">
        <v>309</v>
      </c>
      <c r="E184" s="98">
        <v>200</v>
      </c>
      <c r="F184" s="112">
        <v>0</v>
      </c>
      <c r="G184" s="113">
        <v>21000000</v>
      </c>
      <c r="H184" s="40">
        <f>F184+G184</f>
        <v>21000000</v>
      </c>
      <c r="I184" s="113">
        <v>-14000000</v>
      </c>
      <c r="J184" s="40">
        <f>H184+I184</f>
        <v>7000000</v>
      </c>
      <c r="K184" s="1">
        <v>0</v>
      </c>
      <c r="L184" s="113">
        <v>0</v>
      </c>
      <c r="M184" s="40">
        <f>K184+L184</f>
        <v>0</v>
      </c>
      <c r="N184" s="114">
        <v>0</v>
      </c>
      <c r="O184" s="113">
        <v>0</v>
      </c>
      <c r="P184" s="40">
        <f>N184+O184</f>
        <v>0</v>
      </c>
    </row>
    <row r="185" spans="1:16" ht="40.5" x14ac:dyDescent="0.25">
      <c r="A185" s="34" t="s">
        <v>310</v>
      </c>
      <c r="B185" s="35" t="s">
        <v>234</v>
      </c>
      <c r="C185" s="35" t="s">
        <v>155</v>
      </c>
      <c r="D185" s="36" t="s">
        <v>311</v>
      </c>
      <c r="E185" s="97"/>
      <c r="F185" s="43">
        <f>F186</f>
        <v>1733749.15</v>
      </c>
      <c r="G185" s="72">
        <f>G186</f>
        <v>230507.61</v>
      </c>
      <c r="H185" s="72">
        <f>H186</f>
        <v>1964256.7599999998</v>
      </c>
      <c r="I185" s="72">
        <f>I186</f>
        <v>0</v>
      </c>
      <c r="J185" s="72">
        <f>J186</f>
        <v>1964256.7599999998</v>
      </c>
      <c r="K185" s="72">
        <f t="shared" ref="K185:N185" si="82">K186</f>
        <v>1500000</v>
      </c>
      <c r="L185" s="72">
        <f>L186</f>
        <v>0</v>
      </c>
      <c r="M185" s="72">
        <f>M186</f>
        <v>1500000</v>
      </c>
      <c r="N185" s="43">
        <f t="shared" si="82"/>
        <v>1500000</v>
      </c>
      <c r="O185" s="72">
        <f>O186</f>
        <v>0</v>
      </c>
      <c r="P185" s="72">
        <f>P186</f>
        <v>1500000</v>
      </c>
    </row>
    <row r="186" spans="1:16" ht="30" x14ac:dyDescent="0.25">
      <c r="A186" s="96" t="s">
        <v>153</v>
      </c>
      <c r="B186" s="97" t="s">
        <v>234</v>
      </c>
      <c r="C186" s="97" t="s">
        <v>155</v>
      </c>
      <c r="D186" s="98" t="s">
        <v>311</v>
      </c>
      <c r="E186" s="97">
        <v>200</v>
      </c>
      <c r="F186" s="103">
        <v>1733749.15</v>
      </c>
      <c r="G186" s="103">
        <f>30997.61+199510</f>
        <v>230507.61</v>
      </c>
      <c r="H186" s="38">
        <f>F186+G186</f>
        <v>1964256.7599999998</v>
      </c>
      <c r="I186" s="103">
        <v>0</v>
      </c>
      <c r="J186" s="38">
        <f>H186+I186</f>
        <v>1964256.7599999998</v>
      </c>
      <c r="K186" s="103">
        <v>1500000</v>
      </c>
      <c r="L186" s="103">
        <v>0</v>
      </c>
      <c r="M186" s="38">
        <f>K186+L186</f>
        <v>1500000</v>
      </c>
      <c r="N186" s="103">
        <v>1500000</v>
      </c>
      <c r="O186" s="103">
        <v>0</v>
      </c>
      <c r="P186" s="38">
        <f>N186+O186</f>
        <v>1500000</v>
      </c>
    </row>
    <row r="187" spans="1:16" x14ac:dyDescent="0.25">
      <c r="A187" s="30" t="s">
        <v>312</v>
      </c>
      <c r="B187" s="31" t="s">
        <v>234</v>
      </c>
      <c r="C187" s="31" t="s">
        <v>234</v>
      </c>
      <c r="D187" s="32" t="s">
        <v>0</v>
      </c>
      <c r="E187" s="31" t="s">
        <v>0</v>
      </c>
      <c r="F187" s="33">
        <f t="shared" ref="F187:P189" si="83">F188</f>
        <v>58987173.630168885</v>
      </c>
      <c r="G187" s="33">
        <f t="shared" si="83"/>
        <v>66022.69</v>
      </c>
      <c r="H187" s="33">
        <f t="shared" si="83"/>
        <v>59053196.320168883</v>
      </c>
      <c r="I187" s="33">
        <f t="shared" si="83"/>
        <v>414605</v>
      </c>
      <c r="J187" s="33">
        <f t="shared" si="83"/>
        <v>59467801.320168883</v>
      </c>
      <c r="K187" s="33">
        <f t="shared" si="83"/>
        <v>61386156.20817861</v>
      </c>
      <c r="L187" s="33">
        <f t="shared" si="83"/>
        <v>0</v>
      </c>
      <c r="M187" s="33">
        <f t="shared" si="83"/>
        <v>61386156.20817861</v>
      </c>
      <c r="N187" s="33">
        <f t="shared" si="83"/>
        <v>63841602.457409158</v>
      </c>
      <c r="O187" s="33">
        <f t="shared" si="83"/>
        <v>0</v>
      </c>
      <c r="P187" s="33">
        <f t="shared" si="83"/>
        <v>63841602.457409158</v>
      </c>
    </row>
    <row r="188" spans="1:16" x14ac:dyDescent="0.25">
      <c r="A188" s="30" t="s">
        <v>245</v>
      </c>
      <c r="B188" s="31" t="s">
        <v>234</v>
      </c>
      <c r="C188" s="31" t="s">
        <v>234</v>
      </c>
      <c r="D188" s="32" t="s">
        <v>246</v>
      </c>
      <c r="E188" s="31" t="s">
        <v>0</v>
      </c>
      <c r="F188" s="33">
        <f t="shared" si="83"/>
        <v>58987173.630168885</v>
      </c>
      <c r="G188" s="33">
        <f t="shared" si="83"/>
        <v>66022.69</v>
      </c>
      <c r="H188" s="33">
        <f t="shared" si="83"/>
        <v>59053196.320168883</v>
      </c>
      <c r="I188" s="33">
        <f t="shared" si="83"/>
        <v>414605</v>
      </c>
      <c r="J188" s="33">
        <f t="shared" si="83"/>
        <v>59467801.320168883</v>
      </c>
      <c r="K188" s="33">
        <f t="shared" si="83"/>
        <v>61386156.20817861</v>
      </c>
      <c r="L188" s="33">
        <f t="shared" si="83"/>
        <v>0</v>
      </c>
      <c r="M188" s="33">
        <f t="shared" si="83"/>
        <v>61386156.20817861</v>
      </c>
      <c r="N188" s="33">
        <f t="shared" si="83"/>
        <v>63841602.457409158</v>
      </c>
      <c r="O188" s="33">
        <f t="shared" si="83"/>
        <v>0</v>
      </c>
      <c r="P188" s="33">
        <f t="shared" si="83"/>
        <v>63841602.457409158</v>
      </c>
    </row>
    <row r="189" spans="1:16" x14ac:dyDescent="0.25">
      <c r="A189" s="30" t="s">
        <v>313</v>
      </c>
      <c r="B189" s="31" t="s">
        <v>234</v>
      </c>
      <c r="C189" s="31" t="s">
        <v>234</v>
      </c>
      <c r="D189" s="32" t="s">
        <v>314</v>
      </c>
      <c r="E189" s="31" t="s">
        <v>0</v>
      </c>
      <c r="F189" s="33">
        <f t="shared" si="83"/>
        <v>58987173.630168885</v>
      </c>
      <c r="G189" s="33">
        <f t="shared" si="83"/>
        <v>66022.69</v>
      </c>
      <c r="H189" s="33">
        <f t="shared" si="83"/>
        <v>59053196.320168883</v>
      </c>
      <c r="I189" s="33">
        <f t="shared" si="83"/>
        <v>414605</v>
      </c>
      <c r="J189" s="33">
        <f t="shared" si="83"/>
        <v>59467801.320168883</v>
      </c>
      <c r="K189" s="33">
        <f t="shared" si="83"/>
        <v>61386156.20817861</v>
      </c>
      <c r="L189" s="33">
        <f t="shared" si="83"/>
        <v>0</v>
      </c>
      <c r="M189" s="33">
        <f t="shared" si="83"/>
        <v>61386156.20817861</v>
      </c>
      <c r="N189" s="33">
        <f t="shared" si="83"/>
        <v>63841602.457409158</v>
      </c>
      <c r="O189" s="33">
        <f t="shared" si="83"/>
        <v>0</v>
      </c>
      <c r="P189" s="33">
        <f t="shared" si="83"/>
        <v>63841602.457409158</v>
      </c>
    </row>
    <row r="190" spans="1:16" ht="13.5" customHeight="1" x14ac:dyDescent="0.25">
      <c r="A190" s="34" t="s">
        <v>315</v>
      </c>
      <c r="B190" s="35" t="s">
        <v>234</v>
      </c>
      <c r="C190" s="35" t="s">
        <v>234</v>
      </c>
      <c r="D190" s="36" t="s">
        <v>316</v>
      </c>
      <c r="E190" s="35" t="s">
        <v>0</v>
      </c>
      <c r="F190" s="37">
        <f t="shared" ref="F190:P190" si="84">F191+F193+F192+F194</f>
        <v>58987173.630168885</v>
      </c>
      <c r="G190" s="37">
        <f t="shared" si="84"/>
        <v>66022.69</v>
      </c>
      <c r="H190" s="37">
        <f t="shared" si="84"/>
        <v>59053196.320168883</v>
      </c>
      <c r="I190" s="37">
        <f t="shared" si="84"/>
        <v>414605</v>
      </c>
      <c r="J190" s="37">
        <f t="shared" si="84"/>
        <v>59467801.320168883</v>
      </c>
      <c r="K190" s="37">
        <f t="shared" si="84"/>
        <v>61386156.20817861</v>
      </c>
      <c r="L190" s="37">
        <f t="shared" si="84"/>
        <v>0</v>
      </c>
      <c r="M190" s="37">
        <f t="shared" si="84"/>
        <v>61386156.20817861</v>
      </c>
      <c r="N190" s="37">
        <f t="shared" si="84"/>
        <v>63841602.457409158</v>
      </c>
      <c r="O190" s="37">
        <f t="shared" si="84"/>
        <v>0</v>
      </c>
      <c r="P190" s="37">
        <f t="shared" si="84"/>
        <v>63841602.457409158</v>
      </c>
    </row>
    <row r="191" spans="1:16" x14ac:dyDescent="0.25">
      <c r="A191" s="96" t="s">
        <v>151</v>
      </c>
      <c r="B191" s="97" t="s">
        <v>234</v>
      </c>
      <c r="C191" s="97" t="s">
        <v>234</v>
      </c>
      <c r="D191" s="98" t="s">
        <v>316</v>
      </c>
      <c r="E191" s="97" t="s">
        <v>152</v>
      </c>
      <c r="F191" s="103">
        <v>54362729.629946001</v>
      </c>
      <c r="G191" s="103">
        <v>-10000</v>
      </c>
      <c r="H191" s="38">
        <f>F191+G191</f>
        <v>54352729.629946001</v>
      </c>
      <c r="I191" s="103">
        <f>318437+96168</f>
        <v>414605</v>
      </c>
      <c r="J191" s="38">
        <f>H191+I191</f>
        <v>54767334.629946001</v>
      </c>
      <c r="K191" s="103">
        <v>56615228.209343739</v>
      </c>
      <c r="L191" s="103">
        <v>0</v>
      </c>
      <c r="M191" s="38">
        <f>K191+L191</f>
        <v>56615228.209343739</v>
      </c>
      <c r="N191" s="103">
        <v>58885044.45931749</v>
      </c>
      <c r="O191" s="103">
        <v>0</v>
      </c>
      <c r="P191" s="38">
        <f>N191+O191</f>
        <v>58885044.45931749</v>
      </c>
    </row>
    <row r="192" spans="1:16" ht="30" x14ac:dyDescent="0.25">
      <c r="A192" s="96" t="s">
        <v>153</v>
      </c>
      <c r="B192" s="97" t="s">
        <v>234</v>
      </c>
      <c r="C192" s="97" t="s">
        <v>234</v>
      </c>
      <c r="D192" s="98" t="s">
        <v>316</v>
      </c>
      <c r="E192" s="97" t="s">
        <v>158</v>
      </c>
      <c r="F192" s="103">
        <v>4459608.0002228813</v>
      </c>
      <c r="G192" s="103">
        <v>34027.69</v>
      </c>
      <c r="H192" s="38">
        <f>F192+G192</f>
        <v>4493635.6902228817</v>
      </c>
      <c r="I192" s="103">
        <v>0</v>
      </c>
      <c r="J192" s="38">
        <f>H192+I192</f>
        <v>4493635.6902228817</v>
      </c>
      <c r="K192" s="103">
        <v>4601146.9991948679</v>
      </c>
      <c r="L192" s="103">
        <v>0</v>
      </c>
      <c r="M192" s="38">
        <f>K192+L192</f>
        <v>4601146.9991948679</v>
      </c>
      <c r="N192" s="103">
        <v>4779985.997866068</v>
      </c>
      <c r="O192" s="103">
        <v>0</v>
      </c>
      <c r="P192" s="38">
        <f>N192+O192</f>
        <v>4779985.997866068</v>
      </c>
    </row>
    <row r="193" spans="1:16" outlineLevel="1" x14ac:dyDescent="0.25">
      <c r="A193" s="96" t="s">
        <v>209</v>
      </c>
      <c r="B193" s="97" t="s">
        <v>234</v>
      </c>
      <c r="C193" s="97" t="s">
        <v>234</v>
      </c>
      <c r="D193" s="98" t="s">
        <v>316</v>
      </c>
      <c r="E193" s="97" t="s">
        <v>210</v>
      </c>
      <c r="F193" s="103">
        <v>0</v>
      </c>
      <c r="G193" s="103">
        <v>10000</v>
      </c>
      <c r="H193" s="38">
        <f>F193+G193</f>
        <v>10000</v>
      </c>
      <c r="I193" s="103">
        <v>0</v>
      </c>
      <c r="J193" s="38">
        <f>H193+I193</f>
        <v>10000</v>
      </c>
      <c r="K193" s="103">
        <v>0</v>
      </c>
      <c r="L193" s="103">
        <v>0</v>
      </c>
      <c r="M193" s="38">
        <f>K193+L193</f>
        <v>0</v>
      </c>
      <c r="N193" s="103">
        <v>0</v>
      </c>
      <c r="O193" s="103">
        <v>0</v>
      </c>
      <c r="P193" s="38">
        <f>N193+O193</f>
        <v>0</v>
      </c>
    </row>
    <row r="194" spans="1:16" x14ac:dyDescent="0.25">
      <c r="A194" s="96" t="s">
        <v>172</v>
      </c>
      <c r="B194" s="97" t="s">
        <v>234</v>
      </c>
      <c r="C194" s="97" t="s">
        <v>234</v>
      </c>
      <c r="D194" s="98" t="s">
        <v>316</v>
      </c>
      <c r="E194" s="97" t="s">
        <v>173</v>
      </c>
      <c r="F194" s="103">
        <v>164836</v>
      </c>
      <c r="G194" s="103">
        <v>31995</v>
      </c>
      <c r="H194" s="38">
        <f>F194+G194</f>
        <v>196831</v>
      </c>
      <c r="I194" s="103">
        <v>0</v>
      </c>
      <c r="J194" s="38">
        <f>H194+I194</f>
        <v>196831</v>
      </c>
      <c r="K194" s="103">
        <v>169780.99964000002</v>
      </c>
      <c r="L194" s="103">
        <v>0</v>
      </c>
      <c r="M194" s="38">
        <f>K194+L194</f>
        <v>169780.99964000002</v>
      </c>
      <c r="N194" s="103">
        <v>176572.0002256</v>
      </c>
      <c r="O194" s="103">
        <v>0</v>
      </c>
      <c r="P194" s="38">
        <f>N194+O194</f>
        <v>176572.0002256</v>
      </c>
    </row>
    <row r="195" spans="1:16" ht="12" customHeight="1" x14ac:dyDescent="0.25">
      <c r="A195" s="30" t="s">
        <v>317</v>
      </c>
      <c r="B195" s="31" t="s">
        <v>318</v>
      </c>
      <c r="C195" s="31" t="s">
        <v>0</v>
      </c>
      <c r="D195" s="32" t="s">
        <v>0</v>
      </c>
      <c r="E195" s="31" t="s">
        <v>0</v>
      </c>
      <c r="F195" s="73">
        <f t="shared" ref="F195:P196" si="85">F196</f>
        <v>2892385.27</v>
      </c>
      <c r="G195" s="73">
        <f t="shared" si="85"/>
        <v>0</v>
      </c>
      <c r="H195" s="73">
        <f t="shared" si="85"/>
        <v>2892385.27</v>
      </c>
      <c r="I195" s="73">
        <f t="shared" si="85"/>
        <v>0</v>
      </c>
      <c r="J195" s="73">
        <f t="shared" si="85"/>
        <v>2892385.27</v>
      </c>
      <c r="K195" s="73">
        <f t="shared" si="85"/>
        <v>2971636.55</v>
      </c>
      <c r="L195" s="73">
        <f t="shared" si="85"/>
        <v>0</v>
      </c>
      <c r="M195" s="73">
        <f t="shared" si="85"/>
        <v>2971636.55</v>
      </c>
      <c r="N195" s="73">
        <f t="shared" si="85"/>
        <v>3119538.44</v>
      </c>
      <c r="O195" s="73">
        <f t="shared" si="85"/>
        <v>0</v>
      </c>
      <c r="P195" s="73">
        <f t="shared" si="85"/>
        <v>3119538.44</v>
      </c>
    </row>
    <row r="196" spans="1:16" x14ac:dyDescent="0.25">
      <c r="A196" s="30" t="s">
        <v>319</v>
      </c>
      <c r="B196" s="31" t="s">
        <v>318</v>
      </c>
      <c r="C196" s="31" t="s">
        <v>318</v>
      </c>
      <c r="D196" s="32" t="s">
        <v>0</v>
      </c>
      <c r="E196" s="31" t="s">
        <v>0</v>
      </c>
      <c r="F196" s="73">
        <f t="shared" si="85"/>
        <v>2892385.27</v>
      </c>
      <c r="G196" s="73">
        <f t="shared" si="85"/>
        <v>0</v>
      </c>
      <c r="H196" s="73">
        <f t="shared" si="85"/>
        <v>2892385.27</v>
      </c>
      <c r="I196" s="73">
        <f t="shared" si="85"/>
        <v>0</v>
      </c>
      <c r="J196" s="73">
        <f t="shared" si="85"/>
        <v>2892385.27</v>
      </c>
      <c r="K196" s="73">
        <f t="shared" si="85"/>
        <v>2971636.55</v>
      </c>
      <c r="L196" s="73">
        <f t="shared" si="85"/>
        <v>0</v>
      </c>
      <c r="M196" s="73">
        <f t="shared" si="85"/>
        <v>2971636.55</v>
      </c>
      <c r="N196" s="73">
        <f t="shared" si="85"/>
        <v>3119538.44</v>
      </c>
      <c r="O196" s="73">
        <f t="shared" si="85"/>
        <v>0</v>
      </c>
      <c r="P196" s="73">
        <f t="shared" si="85"/>
        <v>3119538.44</v>
      </c>
    </row>
    <row r="197" spans="1:16" ht="25.5" x14ac:dyDescent="0.25">
      <c r="A197" s="60" t="s">
        <v>320</v>
      </c>
      <c r="B197" s="32" t="s">
        <v>318</v>
      </c>
      <c r="C197" s="32" t="s">
        <v>318</v>
      </c>
      <c r="D197" s="32" t="s">
        <v>321</v>
      </c>
      <c r="E197" s="32" t="s">
        <v>0</v>
      </c>
      <c r="F197" s="74">
        <f t="shared" ref="F197:P197" si="86">F199</f>
        <v>2892385.27</v>
      </c>
      <c r="G197" s="74">
        <f t="shared" si="86"/>
        <v>0</v>
      </c>
      <c r="H197" s="74">
        <f t="shared" si="86"/>
        <v>2892385.27</v>
      </c>
      <c r="I197" s="74">
        <f t="shared" si="86"/>
        <v>0</v>
      </c>
      <c r="J197" s="74">
        <f t="shared" si="86"/>
        <v>2892385.27</v>
      </c>
      <c r="K197" s="74">
        <f t="shared" si="86"/>
        <v>2971636.55</v>
      </c>
      <c r="L197" s="74">
        <f t="shared" si="86"/>
        <v>0</v>
      </c>
      <c r="M197" s="74">
        <f t="shared" si="86"/>
        <v>2971636.55</v>
      </c>
      <c r="N197" s="74">
        <f t="shared" si="86"/>
        <v>3119538.44</v>
      </c>
      <c r="O197" s="74">
        <f t="shared" si="86"/>
        <v>0</v>
      </c>
      <c r="P197" s="74">
        <f t="shared" si="86"/>
        <v>3119538.44</v>
      </c>
    </row>
    <row r="198" spans="1:16" x14ac:dyDescent="0.25">
      <c r="A198" s="60" t="s">
        <v>313</v>
      </c>
      <c r="B198" s="32" t="s">
        <v>318</v>
      </c>
      <c r="C198" s="32" t="s">
        <v>318</v>
      </c>
      <c r="D198" s="32" t="s">
        <v>322</v>
      </c>
      <c r="E198" s="32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1:16" ht="14.25" customHeight="1" x14ac:dyDescent="0.25">
      <c r="A199" s="48" t="s">
        <v>315</v>
      </c>
      <c r="B199" s="36" t="s">
        <v>318</v>
      </c>
      <c r="C199" s="36" t="s">
        <v>318</v>
      </c>
      <c r="D199" s="36" t="s">
        <v>323</v>
      </c>
      <c r="E199" s="36" t="s">
        <v>0</v>
      </c>
      <c r="F199" s="75">
        <f t="shared" ref="F199:P199" si="87">F200</f>
        <v>2892385.27</v>
      </c>
      <c r="G199" s="75">
        <f t="shared" si="87"/>
        <v>0</v>
      </c>
      <c r="H199" s="75">
        <f t="shared" si="87"/>
        <v>2892385.27</v>
      </c>
      <c r="I199" s="75">
        <f t="shared" si="87"/>
        <v>0</v>
      </c>
      <c r="J199" s="75">
        <f t="shared" si="87"/>
        <v>2892385.27</v>
      </c>
      <c r="K199" s="75">
        <f t="shared" si="87"/>
        <v>2971636.55</v>
      </c>
      <c r="L199" s="75">
        <f t="shared" si="87"/>
        <v>0</v>
      </c>
      <c r="M199" s="75">
        <f t="shared" si="87"/>
        <v>2971636.55</v>
      </c>
      <c r="N199" s="75">
        <f t="shared" si="87"/>
        <v>3119538.44</v>
      </c>
      <c r="O199" s="75">
        <f t="shared" si="87"/>
        <v>0</v>
      </c>
      <c r="P199" s="75">
        <f t="shared" si="87"/>
        <v>3119538.44</v>
      </c>
    </row>
    <row r="200" spans="1:16" ht="30" x14ac:dyDescent="0.25">
      <c r="A200" s="105" t="s">
        <v>305</v>
      </c>
      <c r="B200" s="50" t="s">
        <v>318</v>
      </c>
      <c r="C200" s="50" t="s">
        <v>318</v>
      </c>
      <c r="D200" s="50" t="s">
        <v>323</v>
      </c>
      <c r="E200" s="98">
        <v>600</v>
      </c>
      <c r="F200" s="103">
        <v>2892385.27</v>
      </c>
      <c r="G200" s="103">
        <v>0</v>
      </c>
      <c r="H200" s="38">
        <f>F200+G200</f>
        <v>2892385.27</v>
      </c>
      <c r="I200" s="103">
        <v>0</v>
      </c>
      <c r="J200" s="38">
        <f>H200+I200</f>
        <v>2892385.27</v>
      </c>
      <c r="K200" s="103">
        <v>2971636.55</v>
      </c>
      <c r="L200" s="103">
        <v>0</v>
      </c>
      <c r="M200" s="38">
        <f>K200+L200</f>
        <v>2971636.55</v>
      </c>
      <c r="N200" s="103">
        <v>3119538.44</v>
      </c>
      <c r="O200" s="103">
        <v>0</v>
      </c>
      <c r="P200" s="38">
        <f>N200+O200</f>
        <v>3119538.44</v>
      </c>
    </row>
    <row r="201" spans="1:16" x14ac:dyDescent="0.25">
      <c r="A201" s="60" t="s">
        <v>324</v>
      </c>
      <c r="B201" s="31" t="s">
        <v>240</v>
      </c>
      <c r="C201" s="31" t="s">
        <v>0</v>
      </c>
      <c r="D201" s="32" t="s">
        <v>0</v>
      </c>
      <c r="E201" s="31" t="s">
        <v>0</v>
      </c>
      <c r="F201" s="73">
        <f t="shared" ref="F201:P201" si="88">F202</f>
        <v>23593802.059999999</v>
      </c>
      <c r="G201" s="73">
        <f t="shared" si="88"/>
        <v>179000</v>
      </c>
      <c r="H201" s="73">
        <f t="shared" si="88"/>
        <v>23772802.059999999</v>
      </c>
      <c r="I201" s="73">
        <f t="shared" si="88"/>
        <v>0</v>
      </c>
      <c r="J201" s="73">
        <f t="shared" si="88"/>
        <v>23772802.059999999</v>
      </c>
      <c r="K201" s="73">
        <f t="shared" si="88"/>
        <v>23475918.469999999</v>
      </c>
      <c r="L201" s="73">
        <f t="shared" si="88"/>
        <v>0</v>
      </c>
      <c r="M201" s="73">
        <f t="shared" si="88"/>
        <v>23475918.469999999</v>
      </c>
      <c r="N201" s="73">
        <f t="shared" si="88"/>
        <v>23410030.870000001</v>
      </c>
      <c r="O201" s="73">
        <f t="shared" si="88"/>
        <v>0</v>
      </c>
      <c r="P201" s="73">
        <f t="shared" si="88"/>
        <v>23410030.870000001</v>
      </c>
    </row>
    <row r="202" spans="1:16" x14ac:dyDescent="0.25">
      <c r="A202" s="30" t="s">
        <v>325</v>
      </c>
      <c r="B202" s="31" t="s">
        <v>240</v>
      </c>
      <c r="C202" s="31" t="s">
        <v>162</v>
      </c>
      <c r="D202" s="32" t="s">
        <v>0</v>
      </c>
      <c r="E202" s="31" t="s">
        <v>0</v>
      </c>
      <c r="F202" s="73">
        <f t="shared" ref="F202:P202" si="89">F204</f>
        <v>23593802.059999999</v>
      </c>
      <c r="G202" s="73">
        <f t="shared" si="89"/>
        <v>179000</v>
      </c>
      <c r="H202" s="73">
        <f t="shared" si="89"/>
        <v>23772802.059999999</v>
      </c>
      <c r="I202" s="73">
        <f t="shared" si="89"/>
        <v>0</v>
      </c>
      <c r="J202" s="73">
        <f t="shared" si="89"/>
        <v>23772802.059999999</v>
      </c>
      <c r="K202" s="73">
        <f t="shared" si="89"/>
        <v>23475918.469999999</v>
      </c>
      <c r="L202" s="73">
        <f t="shared" si="89"/>
        <v>0</v>
      </c>
      <c r="M202" s="73">
        <f t="shared" si="89"/>
        <v>23475918.469999999</v>
      </c>
      <c r="N202" s="73">
        <f t="shared" si="89"/>
        <v>23410030.870000001</v>
      </c>
      <c r="O202" s="73">
        <f t="shared" si="89"/>
        <v>0</v>
      </c>
      <c r="P202" s="73">
        <f t="shared" si="89"/>
        <v>23410030.870000001</v>
      </c>
    </row>
    <row r="203" spans="1:16" x14ac:dyDescent="0.25">
      <c r="A203" s="30" t="s">
        <v>326</v>
      </c>
      <c r="B203" s="31" t="s">
        <v>240</v>
      </c>
      <c r="C203" s="31" t="s">
        <v>162</v>
      </c>
      <c r="D203" s="32" t="s">
        <v>327</v>
      </c>
      <c r="E203" s="31" t="s">
        <v>0</v>
      </c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1:16" x14ac:dyDescent="0.25">
      <c r="A204" s="60" t="s">
        <v>313</v>
      </c>
      <c r="B204" s="31" t="s">
        <v>240</v>
      </c>
      <c r="C204" s="31" t="s">
        <v>162</v>
      </c>
      <c r="D204" s="32" t="s">
        <v>328</v>
      </c>
      <c r="E204" s="32"/>
      <c r="F204" s="74">
        <f t="shared" ref="F204:P205" si="90">F205</f>
        <v>23593802.059999999</v>
      </c>
      <c r="G204" s="74">
        <f t="shared" si="90"/>
        <v>179000</v>
      </c>
      <c r="H204" s="74">
        <f t="shared" si="90"/>
        <v>23772802.059999999</v>
      </c>
      <c r="I204" s="74">
        <f t="shared" si="90"/>
        <v>0</v>
      </c>
      <c r="J204" s="74">
        <f t="shared" si="90"/>
        <v>23772802.059999999</v>
      </c>
      <c r="K204" s="74">
        <f t="shared" si="90"/>
        <v>23475918.469999999</v>
      </c>
      <c r="L204" s="74">
        <f t="shared" si="90"/>
        <v>0</v>
      </c>
      <c r="M204" s="74">
        <f t="shared" si="90"/>
        <v>23475918.469999999</v>
      </c>
      <c r="N204" s="74">
        <f t="shared" si="90"/>
        <v>23410030.870000001</v>
      </c>
      <c r="O204" s="74">
        <f t="shared" si="90"/>
        <v>0</v>
      </c>
      <c r="P204" s="74">
        <f t="shared" si="90"/>
        <v>23410030.870000001</v>
      </c>
    </row>
    <row r="205" spans="1:16" ht="15" customHeight="1" x14ac:dyDescent="0.25">
      <c r="A205" s="48" t="s">
        <v>315</v>
      </c>
      <c r="B205" s="35" t="s">
        <v>240</v>
      </c>
      <c r="C205" s="35" t="s">
        <v>162</v>
      </c>
      <c r="D205" s="36" t="s">
        <v>329</v>
      </c>
      <c r="E205" s="36" t="s">
        <v>0</v>
      </c>
      <c r="F205" s="75">
        <f t="shared" si="90"/>
        <v>23593802.059999999</v>
      </c>
      <c r="G205" s="75">
        <f t="shared" si="90"/>
        <v>179000</v>
      </c>
      <c r="H205" s="75">
        <f t="shared" si="90"/>
        <v>23772802.059999999</v>
      </c>
      <c r="I205" s="75">
        <f t="shared" si="90"/>
        <v>0</v>
      </c>
      <c r="J205" s="75">
        <f t="shared" si="90"/>
        <v>23772802.059999999</v>
      </c>
      <c r="K205" s="75">
        <f t="shared" si="90"/>
        <v>23475918.469999999</v>
      </c>
      <c r="L205" s="75">
        <f t="shared" si="90"/>
        <v>0</v>
      </c>
      <c r="M205" s="75">
        <f t="shared" si="90"/>
        <v>23475918.469999999</v>
      </c>
      <c r="N205" s="75">
        <f t="shared" si="90"/>
        <v>23410030.870000001</v>
      </c>
      <c r="O205" s="75">
        <f t="shared" si="90"/>
        <v>0</v>
      </c>
      <c r="P205" s="75">
        <f t="shared" si="90"/>
        <v>23410030.870000001</v>
      </c>
    </row>
    <row r="206" spans="1:16" ht="30" x14ac:dyDescent="0.25">
      <c r="A206" s="105" t="s">
        <v>305</v>
      </c>
      <c r="B206" s="50" t="s">
        <v>240</v>
      </c>
      <c r="C206" s="50" t="s">
        <v>162</v>
      </c>
      <c r="D206" s="50" t="s">
        <v>329</v>
      </c>
      <c r="E206" s="98">
        <v>600</v>
      </c>
      <c r="F206" s="103">
        <v>23593802.059999999</v>
      </c>
      <c r="G206" s="103">
        <v>179000</v>
      </c>
      <c r="H206" s="38">
        <f>F206+G206</f>
        <v>23772802.059999999</v>
      </c>
      <c r="I206" s="103">
        <v>0</v>
      </c>
      <c r="J206" s="38">
        <f>H206+I206</f>
        <v>23772802.059999999</v>
      </c>
      <c r="K206" s="103">
        <v>23475918.469999999</v>
      </c>
      <c r="L206" s="103">
        <v>0</v>
      </c>
      <c r="M206" s="38">
        <f>K206+L206</f>
        <v>23475918.469999999</v>
      </c>
      <c r="N206" s="103">
        <v>23410030.870000001</v>
      </c>
      <c r="O206" s="103">
        <v>0</v>
      </c>
      <c r="P206" s="38">
        <f>N206+O206</f>
        <v>23410030.870000001</v>
      </c>
    </row>
    <row r="207" spans="1:16" x14ac:dyDescent="0.25">
      <c r="A207" s="30" t="s">
        <v>330</v>
      </c>
      <c r="B207" s="31" t="s">
        <v>331</v>
      </c>
      <c r="C207" s="31" t="s">
        <v>0</v>
      </c>
      <c r="D207" s="32" t="s">
        <v>0</v>
      </c>
      <c r="E207" s="31" t="s">
        <v>0</v>
      </c>
      <c r="F207" s="33">
        <f>F208+F213+F224</f>
        <v>31455483.32</v>
      </c>
      <c r="G207" s="33">
        <f>G208+G213+G224</f>
        <v>-617025</v>
      </c>
      <c r="H207" s="33">
        <f>H208+H213+H224</f>
        <v>30838458.32</v>
      </c>
      <c r="I207" s="33">
        <f>I208+I213+I224</f>
        <v>0</v>
      </c>
      <c r="J207" s="33">
        <f>J208+J213+J224</f>
        <v>30838458.32</v>
      </c>
      <c r="K207" s="33">
        <f t="shared" ref="K207:N207" si="91">K208+K213+K224</f>
        <v>10723824.84</v>
      </c>
      <c r="L207" s="33">
        <f>L208+L213+L224</f>
        <v>0</v>
      </c>
      <c r="M207" s="33">
        <f>M208+M213+M224</f>
        <v>10723824.84</v>
      </c>
      <c r="N207" s="33">
        <f t="shared" si="91"/>
        <v>10860332</v>
      </c>
      <c r="O207" s="33">
        <f>O208+O213+O224</f>
        <v>0</v>
      </c>
      <c r="P207" s="33">
        <f>P208+P213+P224</f>
        <v>10860332</v>
      </c>
    </row>
    <row r="208" spans="1:16" x14ac:dyDescent="0.25">
      <c r="A208" s="30" t="s">
        <v>332</v>
      </c>
      <c r="B208" s="31" t="s">
        <v>331</v>
      </c>
      <c r="C208" s="31" t="s">
        <v>142</v>
      </c>
      <c r="D208" s="32" t="s">
        <v>0</v>
      </c>
      <c r="E208" s="31" t="s">
        <v>0</v>
      </c>
      <c r="F208" s="33">
        <f t="shared" ref="F208:P211" si="92">F209</f>
        <v>2100000</v>
      </c>
      <c r="G208" s="33">
        <f t="shared" si="92"/>
        <v>0</v>
      </c>
      <c r="H208" s="33">
        <f t="shared" si="92"/>
        <v>2100000</v>
      </c>
      <c r="I208" s="33">
        <f t="shared" si="92"/>
        <v>0</v>
      </c>
      <c r="J208" s="33">
        <f t="shared" si="92"/>
        <v>2100000</v>
      </c>
      <c r="K208" s="33">
        <f t="shared" si="92"/>
        <v>2100000</v>
      </c>
      <c r="L208" s="33">
        <f t="shared" si="92"/>
        <v>0</v>
      </c>
      <c r="M208" s="33">
        <f t="shared" si="92"/>
        <v>2100000</v>
      </c>
      <c r="N208" s="33">
        <f t="shared" si="92"/>
        <v>2100000</v>
      </c>
      <c r="O208" s="33">
        <f t="shared" si="92"/>
        <v>0</v>
      </c>
      <c r="P208" s="33">
        <f t="shared" si="92"/>
        <v>2100000</v>
      </c>
    </row>
    <row r="209" spans="1:16" x14ac:dyDescent="0.25">
      <c r="A209" s="30" t="s">
        <v>333</v>
      </c>
      <c r="B209" s="31" t="s">
        <v>331</v>
      </c>
      <c r="C209" s="31" t="s">
        <v>142</v>
      </c>
      <c r="D209" s="32" t="s">
        <v>334</v>
      </c>
      <c r="E209" s="31" t="s">
        <v>0</v>
      </c>
      <c r="F209" s="33">
        <f t="shared" si="92"/>
        <v>2100000</v>
      </c>
      <c r="G209" s="33">
        <f t="shared" si="92"/>
        <v>0</v>
      </c>
      <c r="H209" s="33">
        <f t="shared" si="92"/>
        <v>2100000</v>
      </c>
      <c r="I209" s="33">
        <f t="shared" si="92"/>
        <v>0</v>
      </c>
      <c r="J209" s="33">
        <f t="shared" si="92"/>
        <v>2100000</v>
      </c>
      <c r="K209" s="33">
        <f t="shared" si="92"/>
        <v>2100000</v>
      </c>
      <c r="L209" s="33">
        <f t="shared" si="92"/>
        <v>0</v>
      </c>
      <c r="M209" s="33">
        <f t="shared" si="92"/>
        <v>2100000</v>
      </c>
      <c r="N209" s="33">
        <f t="shared" si="92"/>
        <v>2100000</v>
      </c>
      <c r="O209" s="33">
        <f t="shared" si="92"/>
        <v>0</v>
      </c>
      <c r="P209" s="33">
        <f t="shared" si="92"/>
        <v>2100000</v>
      </c>
    </row>
    <row r="210" spans="1:16" x14ac:dyDescent="0.25">
      <c r="A210" s="30" t="s">
        <v>313</v>
      </c>
      <c r="B210" s="31" t="s">
        <v>331</v>
      </c>
      <c r="C210" s="31" t="s">
        <v>142</v>
      </c>
      <c r="D210" s="32" t="s">
        <v>335</v>
      </c>
      <c r="E210" s="31" t="s">
        <v>0</v>
      </c>
      <c r="F210" s="33">
        <f t="shared" si="92"/>
        <v>2100000</v>
      </c>
      <c r="G210" s="33">
        <f t="shared" si="92"/>
        <v>0</v>
      </c>
      <c r="H210" s="33">
        <f t="shared" si="92"/>
        <v>2100000</v>
      </c>
      <c r="I210" s="33">
        <f t="shared" si="92"/>
        <v>0</v>
      </c>
      <c r="J210" s="33">
        <f t="shared" si="92"/>
        <v>2100000</v>
      </c>
      <c r="K210" s="33">
        <f t="shared" si="92"/>
        <v>2100000</v>
      </c>
      <c r="L210" s="33">
        <f t="shared" si="92"/>
        <v>0</v>
      </c>
      <c r="M210" s="33">
        <f t="shared" si="92"/>
        <v>2100000</v>
      </c>
      <c r="N210" s="33">
        <f t="shared" si="92"/>
        <v>2100000</v>
      </c>
      <c r="O210" s="33">
        <f t="shared" si="92"/>
        <v>0</v>
      </c>
      <c r="P210" s="33">
        <f t="shared" si="92"/>
        <v>2100000</v>
      </c>
    </row>
    <row r="211" spans="1:16" ht="24.75" customHeight="1" x14ac:dyDescent="0.25">
      <c r="A211" s="34" t="s">
        <v>336</v>
      </c>
      <c r="B211" s="35" t="s">
        <v>331</v>
      </c>
      <c r="C211" s="35" t="s">
        <v>142</v>
      </c>
      <c r="D211" s="36" t="s">
        <v>337</v>
      </c>
      <c r="E211" s="35"/>
      <c r="F211" s="37">
        <f t="shared" si="92"/>
        <v>2100000</v>
      </c>
      <c r="G211" s="37">
        <f t="shared" si="92"/>
        <v>0</v>
      </c>
      <c r="H211" s="37">
        <f t="shared" si="92"/>
        <v>2100000</v>
      </c>
      <c r="I211" s="37">
        <f t="shared" si="92"/>
        <v>0</v>
      </c>
      <c r="J211" s="37">
        <f t="shared" si="92"/>
        <v>2100000</v>
      </c>
      <c r="K211" s="37">
        <f t="shared" si="92"/>
        <v>2100000</v>
      </c>
      <c r="L211" s="37">
        <f t="shared" si="92"/>
        <v>0</v>
      </c>
      <c r="M211" s="37">
        <f t="shared" si="92"/>
        <v>2100000</v>
      </c>
      <c r="N211" s="37">
        <f t="shared" si="92"/>
        <v>2100000</v>
      </c>
      <c r="O211" s="37">
        <f t="shared" si="92"/>
        <v>0</v>
      </c>
      <c r="P211" s="37">
        <f t="shared" si="92"/>
        <v>2100000</v>
      </c>
    </row>
    <row r="212" spans="1:16" x14ac:dyDescent="0.25">
      <c r="A212" s="96" t="s">
        <v>209</v>
      </c>
      <c r="B212" s="49" t="s">
        <v>331</v>
      </c>
      <c r="C212" s="49" t="s">
        <v>142</v>
      </c>
      <c r="D212" s="50" t="s">
        <v>337</v>
      </c>
      <c r="E212" s="49">
        <v>300</v>
      </c>
      <c r="F212" s="76">
        <v>2100000</v>
      </c>
      <c r="G212" s="76">
        <v>0</v>
      </c>
      <c r="H212" s="38">
        <f>F212+G212</f>
        <v>2100000</v>
      </c>
      <c r="I212" s="76">
        <v>0</v>
      </c>
      <c r="J212" s="38">
        <f>H212+I212</f>
        <v>2100000</v>
      </c>
      <c r="K212" s="76">
        <v>2100000</v>
      </c>
      <c r="L212" s="76">
        <v>0</v>
      </c>
      <c r="M212" s="38">
        <f>K212+L212</f>
        <v>2100000</v>
      </c>
      <c r="N212" s="76">
        <v>2100000</v>
      </c>
      <c r="O212" s="76">
        <v>0</v>
      </c>
      <c r="P212" s="38">
        <f>N212+O212</f>
        <v>2100000</v>
      </c>
    </row>
    <row r="213" spans="1:16" x14ac:dyDescent="0.25">
      <c r="A213" s="30" t="s">
        <v>338</v>
      </c>
      <c r="B213" s="31" t="s">
        <v>331</v>
      </c>
      <c r="C213" s="31" t="s">
        <v>155</v>
      </c>
      <c r="D213" s="32" t="s">
        <v>0</v>
      </c>
      <c r="E213" s="31" t="s">
        <v>0</v>
      </c>
      <c r="F213" s="42">
        <f t="shared" ref="F213:P214" si="93">F214</f>
        <v>13406436.32</v>
      </c>
      <c r="G213" s="42">
        <f t="shared" si="93"/>
        <v>0</v>
      </c>
      <c r="H213" s="42">
        <f t="shared" si="93"/>
        <v>13406436.32</v>
      </c>
      <c r="I213" s="42">
        <f t="shared" si="93"/>
        <v>0</v>
      </c>
      <c r="J213" s="42">
        <f t="shared" si="93"/>
        <v>13406436.32</v>
      </c>
      <c r="K213" s="42">
        <f t="shared" si="93"/>
        <v>3912702.84</v>
      </c>
      <c r="L213" s="42">
        <f t="shared" si="93"/>
        <v>0</v>
      </c>
      <c r="M213" s="42">
        <f t="shared" si="93"/>
        <v>3912702.84</v>
      </c>
      <c r="N213" s="42">
        <f t="shared" si="93"/>
        <v>4049210</v>
      </c>
      <c r="O213" s="42">
        <f t="shared" si="93"/>
        <v>0</v>
      </c>
      <c r="P213" s="42">
        <f t="shared" si="93"/>
        <v>4049210</v>
      </c>
    </row>
    <row r="214" spans="1:16" x14ac:dyDescent="0.25">
      <c r="A214" s="30" t="s">
        <v>257</v>
      </c>
      <c r="B214" s="31" t="s">
        <v>331</v>
      </c>
      <c r="C214" s="31" t="s">
        <v>155</v>
      </c>
      <c r="D214" s="32" t="s">
        <v>258</v>
      </c>
      <c r="E214" s="31" t="s">
        <v>0</v>
      </c>
      <c r="F214" s="42">
        <f t="shared" si="93"/>
        <v>13406436.32</v>
      </c>
      <c r="G214" s="42">
        <f t="shared" si="93"/>
        <v>0</v>
      </c>
      <c r="H214" s="42">
        <f t="shared" si="93"/>
        <v>13406436.32</v>
      </c>
      <c r="I214" s="42">
        <f t="shared" si="93"/>
        <v>0</v>
      </c>
      <c r="J214" s="42">
        <f t="shared" si="93"/>
        <v>13406436.32</v>
      </c>
      <c r="K214" s="42">
        <f t="shared" si="93"/>
        <v>3912702.84</v>
      </c>
      <c r="L214" s="42">
        <f t="shared" si="93"/>
        <v>0</v>
      </c>
      <c r="M214" s="42">
        <f t="shared" si="93"/>
        <v>3912702.84</v>
      </c>
      <c r="N214" s="42">
        <f t="shared" si="93"/>
        <v>4049210</v>
      </c>
      <c r="O214" s="42">
        <f t="shared" si="93"/>
        <v>0</v>
      </c>
      <c r="P214" s="42">
        <f t="shared" si="93"/>
        <v>4049210</v>
      </c>
    </row>
    <row r="215" spans="1:16" x14ac:dyDescent="0.25">
      <c r="A215" s="30" t="s">
        <v>165</v>
      </c>
      <c r="B215" s="31" t="s">
        <v>331</v>
      </c>
      <c r="C215" s="31" t="s">
        <v>155</v>
      </c>
      <c r="D215" s="32" t="s">
        <v>259</v>
      </c>
      <c r="E215" s="31" t="s">
        <v>0</v>
      </c>
      <c r="F215" s="42">
        <f>F216+F219+F222</f>
        <v>13406436.32</v>
      </c>
      <c r="G215" s="42">
        <f>G216+G219+G222</f>
        <v>0</v>
      </c>
      <c r="H215" s="42">
        <f>H216+H219+H222</f>
        <v>13406436.32</v>
      </c>
      <c r="I215" s="42">
        <f>I216+I219+I222</f>
        <v>0</v>
      </c>
      <c r="J215" s="42">
        <f>J216+J219+J222</f>
        <v>13406436.32</v>
      </c>
      <c r="K215" s="42">
        <f t="shared" ref="K215:N215" si="94">K216+K219+K222</f>
        <v>3912702.84</v>
      </c>
      <c r="L215" s="42">
        <f>L216+L219+L222</f>
        <v>0</v>
      </c>
      <c r="M215" s="42">
        <f>M216+M219+M222</f>
        <v>3912702.84</v>
      </c>
      <c r="N215" s="42">
        <f t="shared" si="94"/>
        <v>4049210</v>
      </c>
      <c r="O215" s="42">
        <f>O216+O219+O222</f>
        <v>0</v>
      </c>
      <c r="P215" s="42">
        <f>P216+P219+P222</f>
        <v>4049210</v>
      </c>
    </row>
    <row r="216" spans="1:16" x14ac:dyDescent="0.25">
      <c r="A216" s="34" t="s">
        <v>339</v>
      </c>
      <c r="B216" s="35" t="s">
        <v>331</v>
      </c>
      <c r="C216" s="35" t="s">
        <v>155</v>
      </c>
      <c r="D216" s="36" t="s">
        <v>340</v>
      </c>
      <c r="E216" s="35" t="s">
        <v>0</v>
      </c>
      <c r="F216" s="43">
        <f>F217+F218</f>
        <v>4423333.4800000004</v>
      </c>
      <c r="G216" s="43">
        <f>G217+G218</f>
        <v>0</v>
      </c>
      <c r="H216" s="43">
        <f>H217+H218</f>
        <v>4423333.4800000004</v>
      </c>
      <c r="I216" s="43">
        <f>I217+I218</f>
        <v>0</v>
      </c>
      <c r="J216" s="43">
        <f>J217+J218</f>
        <v>4423333.4800000004</v>
      </c>
      <c r="K216" s="43">
        <f t="shared" ref="K216:N216" si="95">K217+K218</f>
        <v>500000</v>
      </c>
      <c r="L216" s="43">
        <f>L217+L218</f>
        <v>0</v>
      </c>
      <c r="M216" s="43">
        <f>M217+M218</f>
        <v>500000</v>
      </c>
      <c r="N216" s="43">
        <f t="shared" si="95"/>
        <v>500000</v>
      </c>
      <c r="O216" s="43">
        <f>O217+O218</f>
        <v>0</v>
      </c>
      <c r="P216" s="43">
        <f>P217+P218</f>
        <v>500000</v>
      </c>
    </row>
    <row r="217" spans="1:16" x14ac:dyDescent="0.25">
      <c r="A217" s="96" t="s">
        <v>209</v>
      </c>
      <c r="B217" s="97" t="s">
        <v>331</v>
      </c>
      <c r="C217" s="97" t="s">
        <v>155</v>
      </c>
      <c r="D217" s="98" t="s">
        <v>340</v>
      </c>
      <c r="E217" s="97" t="s">
        <v>210</v>
      </c>
      <c r="F217" s="103">
        <v>500000</v>
      </c>
      <c r="G217" s="103">
        <v>0</v>
      </c>
      <c r="H217" s="38">
        <f>F217+G217</f>
        <v>500000</v>
      </c>
      <c r="I217" s="103">
        <v>0</v>
      </c>
      <c r="J217" s="38">
        <f>H217+I217</f>
        <v>500000</v>
      </c>
      <c r="K217" s="103">
        <v>500000</v>
      </c>
      <c r="L217" s="103">
        <v>0</v>
      </c>
      <c r="M217" s="38">
        <f>K217+L217</f>
        <v>500000</v>
      </c>
      <c r="N217" s="103">
        <v>500000</v>
      </c>
      <c r="O217" s="103">
        <v>0</v>
      </c>
      <c r="P217" s="38">
        <f>N217+O217</f>
        <v>500000</v>
      </c>
    </row>
    <row r="218" spans="1:16" x14ac:dyDescent="0.25">
      <c r="A218" s="96" t="s">
        <v>169</v>
      </c>
      <c r="B218" s="97" t="s">
        <v>331</v>
      </c>
      <c r="C218" s="97" t="s">
        <v>155</v>
      </c>
      <c r="D218" s="98" t="s">
        <v>340</v>
      </c>
      <c r="E218" s="97" t="s">
        <v>171</v>
      </c>
      <c r="F218" s="103">
        <v>3923333.48</v>
      </c>
      <c r="G218" s="103">
        <v>0</v>
      </c>
      <c r="H218" s="38">
        <f>F218+G218</f>
        <v>3923333.48</v>
      </c>
      <c r="I218" s="103">
        <v>0</v>
      </c>
      <c r="J218" s="38">
        <f>H218+I218</f>
        <v>3923333.48</v>
      </c>
      <c r="K218" s="103">
        <v>0</v>
      </c>
      <c r="L218" s="103">
        <v>0</v>
      </c>
      <c r="M218" s="38">
        <f>K218+L218</f>
        <v>0</v>
      </c>
      <c r="N218" s="103">
        <v>0</v>
      </c>
      <c r="O218" s="103">
        <v>0</v>
      </c>
      <c r="P218" s="38">
        <f>N218+O218</f>
        <v>0</v>
      </c>
    </row>
    <row r="219" spans="1:16" ht="27" x14ac:dyDescent="0.25">
      <c r="A219" s="34" t="s">
        <v>271</v>
      </c>
      <c r="B219" s="35" t="s">
        <v>331</v>
      </c>
      <c r="C219" s="35" t="s">
        <v>155</v>
      </c>
      <c r="D219" s="36" t="s">
        <v>272</v>
      </c>
      <c r="E219" s="35" t="s">
        <v>0</v>
      </c>
      <c r="F219" s="43">
        <f>F220+F221</f>
        <v>5802419.8399999999</v>
      </c>
      <c r="G219" s="43">
        <f>G220+G221</f>
        <v>0</v>
      </c>
      <c r="H219" s="43">
        <f>H220+H221</f>
        <v>5802419.8399999999</v>
      </c>
      <c r="I219" s="43">
        <f>I220+I221</f>
        <v>0</v>
      </c>
      <c r="J219" s="43">
        <f>J220+J221</f>
        <v>5802419.8399999999</v>
      </c>
      <c r="K219" s="43">
        <f t="shared" ref="K219:N219" si="96">K220+K221</f>
        <v>232019.84</v>
      </c>
      <c r="L219" s="43">
        <f>L220+L221</f>
        <v>0</v>
      </c>
      <c r="M219" s="43">
        <f>M220+M221</f>
        <v>232019.84</v>
      </c>
      <c r="N219" s="43">
        <f t="shared" si="96"/>
        <v>241300</v>
      </c>
      <c r="O219" s="43">
        <f>O220+O221</f>
        <v>0</v>
      </c>
      <c r="P219" s="43">
        <f>P220+P221</f>
        <v>241300</v>
      </c>
    </row>
    <row r="220" spans="1:16" ht="30" x14ac:dyDescent="0.25">
      <c r="A220" s="96" t="s">
        <v>153</v>
      </c>
      <c r="B220" s="97" t="s">
        <v>331</v>
      </c>
      <c r="C220" s="97" t="s">
        <v>155</v>
      </c>
      <c r="D220" s="98" t="s">
        <v>272</v>
      </c>
      <c r="E220" s="97" t="s">
        <v>158</v>
      </c>
      <c r="F220" s="103">
        <v>232019.84</v>
      </c>
      <c r="G220" s="103">
        <v>0</v>
      </c>
      <c r="H220" s="38">
        <f>F220+G220</f>
        <v>232019.84</v>
      </c>
      <c r="I220" s="103">
        <v>0</v>
      </c>
      <c r="J220" s="38">
        <f>H220+I220</f>
        <v>232019.84</v>
      </c>
      <c r="K220" s="103">
        <v>232019.84</v>
      </c>
      <c r="L220" s="103">
        <v>0</v>
      </c>
      <c r="M220" s="38">
        <f>K220+L220</f>
        <v>232019.84</v>
      </c>
      <c r="N220" s="103">
        <v>241300</v>
      </c>
      <c r="O220" s="103">
        <v>0</v>
      </c>
      <c r="P220" s="38">
        <f>N220+O220</f>
        <v>241300</v>
      </c>
    </row>
    <row r="221" spans="1:16" x14ac:dyDescent="0.25">
      <c r="A221" s="96" t="s">
        <v>169</v>
      </c>
      <c r="B221" s="97" t="s">
        <v>331</v>
      </c>
      <c r="C221" s="97" t="s">
        <v>155</v>
      </c>
      <c r="D221" s="98" t="s">
        <v>272</v>
      </c>
      <c r="E221" s="97" t="s">
        <v>171</v>
      </c>
      <c r="F221" s="103">
        <v>5570400</v>
      </c>
      <c r="G221" s="103">
        <v>0</v>
      </c>
      <c r="H221" s="38">
        <f>F221+G221</f>
        <v>5570400</v>
      </c>
      <c r="I221" s="103">
        <v>0</v>
      </c>
      <c r="J221" s="38">
        <f>H221+I221</f>
        <v>5570400</v>
      </c>
      <c r="K221" s="103">
        <v>0</v>
      </c>
      <c r="L221" s="103">
        <v>0</v>
      </c>
      <c r="M221" s="38">
        <f>K221+L221</f>
        <v>0</v>
      </c>
      <c r="N221" s="103">
        <v>0</v>
      </c>
      <c r="O221" s="103">
        <v>0</v>
      </c>
      <c r="P221" s="38">
        <f>N221+O221</f>
        <v>0</v>
      </c>
    </row>
    <row r="222" spans="1:16" outlineLevel="1" x14ac:dyDescent="0.25">
      <c r="A222" s="34" t="s">
        <v>341</v>
      </c>
      <c r="B222" s="35" t="s">
        <v>331</v>
      </c>
      <c r="C222" s="35" t="s">
        <v>155</v>
      </c>
      <c r="D222" s="36" t="s">
        <v>342</v>
      </c>
      <c r="E222" s="35" t="s">
        <v>0</v>
      </c>
      <c r="F222" s="43">
        <f>F223</f>
        <v>3180683</v>
      </c>
      <c r="G222" s="43">
        <f>G223</f>
        <v>0</v>
      </c>
      <c r="H222" s="43">
        <f>H223</f>
        <v>3180683</v>
      </c>
      <c r="I222" s="43">
        <f>I223</f>
        <v>0</v>
      </c>
      <c r="J222" s="43">
        <f>J223</f>
        <v>3180683</v>
      </c>
      <c r="K222" s="43">
        <f t="shared" ref="K222:N222" si="97">K223</f>
        <v>3180683</v>
      </c>
      <c r="L222" s="43">
        <f>L223</f>
        <v>0</v>
      </c>
      <c r="M222" s="43">
        <f>M223</f>
        <v>3180683</v>
      </c>
      <c r="N222" s="43">
        <f t="shared" si="97"/>
        <v>3307910</v>
      </c>
      <c r="O222" s="43">
        <f>O223</f>
        <v>0</v>
      </c>
      <c r="P222" s="43">
        <f>P223</f>
        <v>3307910</v>
      </c>
    </row>
    <row r="223" spans="1:16" outlineLevel="1" x14ac:dyDescent="0.25">
      <c r="A223" s="96" t="s">
        <v>343</v>
      </c>
      <c r="B223" s="97" t="s">
        <v>331</v>
      </c>
      <c r="C223" s="97" t="s">
        <v>155</v>
      </c>
      <c r="D223" s="98" t="s">
        <v>342</v>
      </c>
      <c r="E223" s="97" t="s">
        <v>344</v>
      </c>
      <c r="F223" s="103">
        <v>3180683</v>
      </c>
      <c r="G223" s="103">
        <v>0</v>
      </c>
      <c r="H223" s="38">
        <f>F223+G223</f>
        <v>3180683</v>
      </c>
      <c r="I223" s="103">
        <v>0</v>
      </c>
      <c r="J223" s="38">
        <f>H223+I223</f>
        <v>3180683</v>
      </c>
      <c r="K223" s="103">
        <v>3180683</v>
      </c>
      <c r="L223" s="103">
        <v>0</v>
      </c>
      <c r="M223" s="38">
        <f>K223+L223</f>
        <v>3180683</v>
      </c>
      <c r="N223" s="103">
        <v>3307910</v>
      </c>
      <c r="O223" s="103">
        <v>0</v>
      </c>
      <c r="P223" s="38">
        <f>N223+O223</f>
        <v>3307910</v>
      </c>
    </row>
    <row r="224" spans="1:16" ht="14.25" customHeight="1" x14ac:dyDescent="0.25">
      <c r="A224" s="30" t="s">
        <v>345</v>
      </c>
      <c r="B224" s="31" t="s">
        <v>331</v>
      </c>
      <c r="C224" s="31" t="s">
        <v>175</v>
      </c>
      <c r="D224" s="32" t="s">
        <v>0</v>
      </c>
      <c r="E224" s="31" t="s">
        <v>0</v>
      </c>
      <c r="F224" s="42">
        <f>F225</f>
        <v>15949047</v>
      </c>
      <c r="G224" s="42">
        <f>G225</f>
        <v>-617025</v>
      </c>
      <c r="H224" s="42">
        <f>H225</f>
        <v>15332022</v>
      </c>
      <c r="I224" s="42">
        <f>I225</f>
        <v>0</v>
      </c>
      <c r="J224" s="42">
        <f>J225</f>
        <v>15332022</v>
      </c>
      <c r="K224" s="42">
        <f t="shared" ref="K224:N224" si="98">K225</f>
        <v>4711122</v>
      </c>
      <c r="L224" s="42">
        <f>L225</f>
        <v>0</v>
      </c>
      <c r="M224" s="42">
        <f>M225</f>
        <v>4711122</v>
      </c>
      <c r="N224" s="42">
        <f t="shared" si="98"/>
        <v>4711122</v>
      </c>
      <c r="O224" s="42">
        <f>O225</f>
        <v>0</v>
      </c>
      <c r="P224" s="42">
        <f>P225</f>
        <v>4711122</v>
      </c>
    </row>
    <row r="225" spans="1:16" x14ac:dyDescent="0.25">
      <c r="A225" s="30" t="s">
        <v>333</v>
      </c>
      <c r="B225" s="31" t="s">
        <v>331</v>
      </c>
      <c r="C225" s="31" t="s">
        <v>175</v>
      </c>
      <c r="D225" s="32" t="s">
        <v>346</v>
      </c>
      <c r="E225" s="31" t="s">
        <v>0</v>
      </c>
      <c r="F225" s="42">
        <f>F226+F235</f>
        <v>15949047</v>
      </c>
      <c r="G225" s="42">
        <f>G226+G235</f>
        <v>-617025</v>
      </c>
      <c r="H225" s="42">
        <f>H226+H235</f>
        <v>15332022</v>
      </c>
      <c r="I225" s="42">
        <f>I226+I235</f>
        <v>0</v>
      </c>
      <c r="J225" s="42">
        <f>J226+J235</f>
        <v>15332022</v>
      </c>
      <c r="K225" s="42">
        <f t="shared" ref="K225:N225" si="99">K226+K235</f>
        <v>4711122</v>
      </c>
      <c r="L225" s="42">
        <f>L226+L235</f>
        <v>0</v>
      </c>
      <c r="M225" s="42">
        <f>M226+M235</f>
        <v>4711122</v>
      </c>
      <c r="N225" s="42">
        <f t="shared" si="99"/>
        <v>4711122</v>
      </c>
      <c r="O225" s="42">
        <f>O226+O235</f>
        <v>0</v>
      </c>
      <c r="P225" s="42">
        <f>P226+P235</f>
        <v>4711122</v>
      </c>
    </row>
    <row r="226" spans="1:16" x14ac:dyDescent="0.25">
      <c r="A226" s="30" t="s">
        <v>165</v>
      </c>
      <c r="B226" s="31" t="s">
        <v>331</v>
      </c>
      <c r="C226" s="31" t="s">
        <v>175</v>
      </c>
      <c r="D226" s="32" t="s">
        <v>347</v>
      </c>
      <c r="E226" s="31"/>
      <c r="F226" s="42">
        <f>F227+F229+F232</f>
        <v>3739600</v>
      </c>
      <c r="G226" s="42">
        <f>G227+G229+G232</f>
        <v>1499600</v>
      </c>
      <c r="H226" s="42">
        <f>H227+H229+H232</f>
        <v>5239200</v>
      </c>
      <c r="I226" s="42">
        <f>I227+I229+I232</f>
        <v>0</v>
      </c>
      <c r="J226" s="42">
        <f>J227+J229+J232</f>
        <v>5239200</v>
      </c>
      <c r="K226" s="42">
        <f t="shared" ref="K226:N226" si="100">K227+K229+K232</f>
        <v>2139600</v>
      </c>
      <c r="L226" s="42">
        <f>L227+L229+L232</f>
        <v>0</v>
      </c>
      <c r="M226" s="42">
        <f>M227+M229+M232</f>
        <v>2139600</v>
      </c>
      <c r="N226" s="42">
        <f t="shared" si="100"/>
        <v>2139600</v>
      </c>
      <c r="O226" s="42">
        <f>O227+O229+O232</f>
        <v>0</v>
      </c>
      <c r="P226" s="42">
        <f>P227+P229+P232</f>
        <v>2139600</v>
      </c>
    </row>
    <row r="227" spans="1:16" x14ac:dyDescent="0.25">
      <c r="A227" s="34" t="s">
        <v>348</v>
      </c>
      <c r="B227" s="35" t="s">
        <v>331</v>
      </c>
      <c r="C227" s="35" t="s">
        <v>175</v>
      </c>
      <c r="D227" s="36" t="s">
        <v>349</v>
      </c>
      <c r="E227" s="35"/>
      <c r="F227" s="43">
        <f>F228</f>
        <v>1600000</v>
      </c>
      <c r="G227" s="43">
        <f>G228</f>
        <v>0</v>
      </c>
      <c r="H227" s="43">
        <f>H228</f>
        <v>1600000</v>
      </c>
      <c r="I227" s="43">
        <f>I228</f>
        <v>0</v>
      </c>
      <c r="J227" s="43">
        <f>J228</f>
        <v>1600000</v>
      </c>
      <c r="K227" s="43">
        <f t="shared" ref="K227:N227" si="101">K228</f>
        <v>0</v>
      </c>
      <c r="L227" s="43">
        <f>L228</f>
        <v>0</v>
      </c>
      <c r="M227" s="43">
        <f>M228</f>
        <v>0</v>
      </c>
      <c r="N227" s="43">
        <f t="shared" si="101"/>
        <v>0</v>
      </c>
      <c r="O227" s="43">
        <f>O228</f>
        <v>0</v>
      </c>
      <c r="P227" s="43">
        <f>P228</f>
        <v>0</v>
      </c>
    </row>
    <row r="228" spans="1:16" ht="13.5" customHeight="1" x14ac:dyDescent="0.25">
      <c r="A228" s="66" t="s">
        <v>297</v>
      </c>
      <c r="B228" s="97" t="s">
        <v>331</v>
      </c>
      <c r="C228" s="97" t="s">
        <v>175</v>
      </c>
      <c r="D228" s="50" t="s">
        <v>349</v>
      </c>
      <c r="E228" s="49">
        <v>600</v>
      </c>
      <c r="F228" s="51">
        <v>1600000</v>
      </c>
      <c r="G228" s="51">
        <v>0</v>
      </c>
      <c r="H228" s="38">
        <f>F228+G228</f>
        <v>1600000</v>
      </c>
      <c r="I228" s="51">
        <v>0</v>
      </c>
      <c r="J228" s="38">
        <f>H228+I228</f>
        <v>1600000</v>
      </c>
      <c r="K228" s="51">
        <v>0</v>
      </c>
      <c r="L228" s="51">
        <v>0</v>
      </c>
      <c r="M228" s="38">
        <f>K228+L228</f>
        <v>0</v>
      </c>
      <c r="N228" s="51">
        <v>0</v>
      </c>
      <c r="O228" s="51">
        <v>0</v>
      </c>
      <c r="P228" s="38">
        <f>N228+O228</f>
        <v>0</v>
      </c>
    </row>
    <row r="229" spans="1:16" ht="30" x14ac:dyDescent="0.25">
      <c r="A229" s="96" t="s">
        <v>350</v>
      </c>
      <c r="B229" s="35" t="s">
        <v>331</v>
      </c>
      <c r="C229" s="35" t="s">
        <v>175</v>
      </c>
      <c r="D229" s="36" t="s">
        <v>351</v>
      </c>
      <c r="E229" s="35" t="s">
        <v>0</v>
      </c>
      <c r="F229" s="43">
        <f>F230+F231</f>
        <v>1048500</v>
      </c>
      <c r="G229" s="43">
        <f>G230+G231</f>
        <v>1499600</v>
      </c>
      <c r="H229" s="43">
        <f>H230+H231</f>
        <v>2548100</v>
      </c>
      <c r="I229" s="43">
        <f>I230+I231</f>
        <v>0</v>
      </c>
      <c r="J229" s="43">
        <f>J230+J231</f>
        <v>2548100</v>
      </c>
      <c r="K229" s="43">
        <f t="shared" ref="K229:N229" si="102">K230+K231</f>
        <v>1048500</v>
      </c>
      <c r="L229" s="43">
        <f>L230+L231</f>
        <v>0</v>
      </c>
      <c r="M229" s="43">
        <f>M230+M231</f>
        <v>1048500</v>
      </c>
      <c r="N229" s="43">
        <f t="shared" si="102"/>
        <v>1048500</v>
      </c>
      <c r="O229" s="43">
        <f>O230+O231</f>
        <v>0</v>
      </c>
      <c r="P229" s="43">
        <f>P230+P231</f>
        <v>1048500</v>
      </c>
    </row>
    <row r="230" spans="1:16" ht="30" x14ac:dyDescent="0.25">
      <c r="A230" s="96" t="s">
        <v>153</v>
      </c>
      <c r="B230" s="97" t="s">
        <v>331</v>
      </c>
      <c r="C230" s="97" t="s">
        <v>175</v>
      </c>
      <c r="D230" s="98" t="s">
        <v>351</v>
      </c>
      <c r="E230" s="97" t="s">
        <v>158</v>
      </c>
      <c r="F230" s="103">
        <v>297000</v>
      </c>
      <c r="G230" s="103">
        <v>0</v>
      </c>
      <c r="H230" s="38">
        <f>F230+G230</f>
        <v>297000</v>
      </c>
      <c r="I230" s="103">
        <v>0</v>
      </c>
      <c r="J230" s="38">
        <f>H230+I230</f>
        <v>297000</v>
      </c>
      <c r="K230" s="103">
        <v>297000</v>
      </c>
      <c r="L230" s="103">
        <v>0</v>
      </c>
      <c r="M230" s="38">
        <f>K230+L230</f>
        <v>297000</v>
      </c>
      <c r="N230" s="103">
        <v>297000</v>
      </c>
      <c r="O230" s="103">
        <v>0</v>
      </c>
      <c r="P230" s="38">
        <f>N230+O230</f>
        <v>297000</v>
      </c>
    </row>
    <row r="231" spans="1:16" x14ac:dyDescent="0.25">
      <c r="A231" s="96" t="s">
        <v>209</v>
      </c>
      <c r="B231" s="97" t="s">
        <v>331</v>
      </c>
      <c r="C231" s="97" t="s">
        <v>175</v>
      </c>
      <c r="D231" s="98" t="s">
        <v>351</v>
      </c>
      <c r="E231" s="97">
        <v>300</v>
      </c>
      <c r="F231" s="103">
        <v>751500</v>
      </c>
      <c r="G231" s="103">
        <f>1500000-400</f>
        <v>1499600</v>
      </c>
      <c r="H231" s="38">
        <f>F231+G231</f>
        <v>2251100</v>
      </c>
      <c r="I231" s="103">
        <v>0</v>
      </c>
      <c r="J231" s="38">
        <f>H231+I231</f>
        <v>2251100</v>
      </c>
      <c r="K231" s="103">
        <v>751500</v>
      </c>
      <c r="L231" s="103">
        <v>0</v>
      </c>
      <c r="M231" s="38">
        <f>K231+L231</f>
        <v>751500</v>
      </c>
      <c r="N231" s="103">
        <v>751500</v>
      </c>
      <c r="O231" s="103">
        <v>0</v>
      </c>
      <c r="P231" s="38">
        <f>N231+O231</f>
        <v>751500</v>
      </c>
    </row>
    <row r="232" spans="1:16" x14ac:dyDescent="0.25">
      <c r="A232" s="34" t="s">
        <v>352</v>
      </c>
      <c r="B232" s="35" t="s">
        <v>331</v>
      </c>
      <c r="C232" s="35" t="s">
        <v>175</v>
      </c>
      <c r="D232" s="36" t="s">
        <v>353</v>
      </c>
      <c r="E232" s="35"/>
      <c r="F232" s="43">
        <f t="shared" ref="F232:P232" si="103">F233+F234</f>
        <v>1091100</v>
      </c>
      <c r="G232" s="43">
        <f t="shared" si="103"/>
        <v>0</v>
      </c>
      <c r="H232" s="43">
        <f t="shared" si="103"/>
        <v>1091100</v>
      </c>
      <c r="I232" s="43">
        <f t="shared" si="103"/>
        <v>0</v>
      </c>
      <c r="J232" s="43">
        <f t="shared" si="103"/>
        <v>1091100</v>
      </c>
      <c r="K232" s="43">
        <f t="shared" si="103"/>
        <v>1091100</v>
      </c>
      <c r="L232" s="43">
        <f t="shared" si="103"/>
        <v>0</v>
      </c>
      <c r="M232" s="43">
        <f t="shared" si="103"/>
        <v>1091100</v>
      </c>
      <c r="N232" s="43">
        <f t="shared" si="103"/>
        <v>1091100</v>
      </c>
      <c r="O232" s="43">
        <f t="shared" si="103"/>
        <v>0</v>
      </c>
      <c r="P232" s="43">
        <f t="shared" si="103"/>
        <v>1091100</v>
      </c>
    </row>
    <row r="233" spans="1:16" ht="30" x14ac:dyDescent="0.25">
      <c r="A233" s="96" t="s">
        <v>153</v>
      </c>
      <c r="B233" s="97" t="s">
        <v>331</v>
      </c>
      <c r="C233" s="97" t="s">
        <v>175</v>
      </c>
      <c r="D233" s="98" t="s">
        <v>353</v>
      </c>
      <c r="E233" s="97">
        <v>200</v>
      </c>
      <c r="F233" s="103">
        <v>376100</v>
      </c>
      <c r="G233" s="103">
        <v>0</v>
      </c>
      <c r="H233" s="38">
        <f>F233+G233</f>
        <v>376100</v>
      </c>
      <c r="I233" s="103">
        <v>0</v>
      </c>
      <c r="J233" s="38">
        <f>H233+I233</f>
        <v>376100</v>
      </c>
      <c r="K233" s="103">
        <v>376100</v>
      </c>
      <c r="L233" s="103">
        <v>0</v>
      </c>
      <c r="M233" s="38">
        <f>K233+L233</f>
        <v>376100</v>
      </c>
      <c r="N233" s="103">
        <v>376100</v>
      </c>
      <c r="O233" s="103">
        <v>0</v>
      </c>
      <c r="P233" s="38">
        <f>N233+O233</f>
        <v>376100</v>
      </c>
    </row>
    <row r="234" spans="1:16" x14ac:dyDescent="0.25">
      <c r="A234" s="96" t="s">
        <v>209</v>
      </c>
      <c r="B234" s="97" t="s">
        <v>331</v>
      </c>
      <c r="C234" s="97" t="s">
        <v>175</v>
      </c>
      <c r="D234" s="98" t="s">
        <v>353</v>
      </c>
      <c r="E234" s="97">
        <v>300</v>
      </c>
      <c r="F234" s="103">
        <v>715000</v>
      </c>
      <c r="G234" s="103">
        <v>0</v>
      </c>
      <c r="H234" s="38">
        <f>F234+G234</f>
        <v>715000</v>
      </c>
      <c r="I234" s="103">
        <v>0</v>
      </c>
      <c r="J234" s="38">
        <f>H234+I234</f>
        <v>715000</v>
      </c>
      <c r="K234" s="103">
        <v>715000</v>
      </c>
      <c r="L234" s="103">
        <v>0</v>
      </c>
      <c r="M234" s="38">
        <f>K234+L234</f>
        <v>715000</v>
      </c>
      <c r="N234" s="103">
        <v>715000</v>
      </c>
      <c r="O234" s="103">
        <v>0</v>
      </c>
      <c r="P234" s="38">
        <f>N234+O234</f>
        <v>715000</v>
      </c>
    </row>
    <row r="235" spans="1:16" outlineLevel="1" x14ac:dyDescent="0.25">
      <c r="A235" s="30" t="s">
        <v>313</v>
      </c>
      <c r="B235" s="32" t="s">
        <v>331</v>
      </c>
      <c r="C235" s="32" t="s">
        <v>175</v>
      </c>
      <c r="D235" s="32" t="s">
        <v>335</v>
      </c>
      <c r="E235" s="35"/>
      <c r="F235" s="43">
        <f>F236</f>
        <v>12209447</v>
      </c>
      <c r="G235" s="43">
        <f>G236</f>
        <v>-2116625</v>
      </c>
      <c r="H235" s="43">
        <f>H236</f>
        <v>10092822</v>
      </c>
      <c r="I235" s="43">
        <f>I236</f>
        <v>0</v>
      </c>
      <c r="J235" s="43">
        <f>J236</f>
        <v>10092822</v>
      </c>
      <c r="K235" s="43">
        <f t="shared" ref="K235:N235" si="104">K236</f>
        <v>2571522</v>
      </c>
      <c r="L235" s="43">
        <f>L236</f>
        <v>0</v>
      </c>
      <c r="M235" s="43">
        <f>M236</f>
        <v>2571522</v>
      </c>
      <c r="N235" s="43">
        <f t="shared" si="104"/>
        <v>2571522</v>
      </c>
      <c r="O235" s="43">
        <f>O236</f>
        <v>0</v>
      </c>
      <c r="P235" s="43">
        <f>P236</f>
        <v>2571522</v>
      </c>
    </row>
    <row r="236" spans="1:16" ht="27" x14ac:dyDescent="0.25">
      <c r="A236" s="34" t="s">
        <v>354</v>
      </c>
      <c r="B236" s="36" t="s">
        <v>331</v>
      </c>
      <c r="C236" s="36" t="s">
        <v>175</v>
      </c>
      <c r="D236" s="36" t="s">
        <v>355</v>
      </c>
      <c r="E236" s="35"/>
      <c r="F236" s="77">
        <f>F237+F238+F239</f>
        <v>12209447</v>
      </c>
      <c r="G236" s="77">
        <f>G237+G238+G239</f>
        <v>-2116625</v>
      </c>
      <c r="H236" s="77">
        <f>H237+H238+H239</f>
        <v>10092822</v>
      </c>
      <c r="I236" s="77">
        <f>I237+I238+I239</f>
        <v>0</v>
      </c>
      <c r="J236" s="77">
        <f>J237+J238+J239</f>
        <v>10092822</v>
      </c>
      <c r="K236" s="77">
        <f t="shared" ref="K236:N236" si="105">K237+K238+K239</f>
        <v>2571522</v>
      </c>
      <c r="L236" s="77">
        <f>L237+L238+L239</f>
        <v>0</v>
      </c>
      <c r="M236" s="77">
        <f>M237+M238+M239</f>
        <v>2571522</v>
      </c>
      <c r="N236" s="77">
        <f t="shared" si="105"/>
        <v>2571522</v>
      </c>
      <c r="O236" s="77">
        <f>O237+O238+O239</f>
        <v>0</v>
      </c>
      <c r="P236" s="77">
        <f>P237+P238+P239</f>
        <v>2571522</v>
      </c>
    </row>
    <row r="237" spans="1:16" ht="30" x14ac:dyDescent="0.25">
      <c r="A237" s="96" t="s">
        <v>153</v>
      </c>
      <c r="B237" s="49" t="s">
        <v>331</v>
      </c>
      <c r="C237" s="49" t="s">
        <v>175</v>
      </c>
      <c r="D237" s="50" t="s">
        <v>355</v>
      </c>
      <c r="E237" s="49">
        <v>200</v>
      </c>
      <c r="F237" s="51">
        <v>45000</v>
      </c>
      <c r="G237" s="51">
        <v>0</v>
      </c>
      <c r="H237" s="38">
        <f>F237+G237</f>
        <v>45000</v>
      </c>
      <c r="I237" s="51">
        <v>0</v>
      </c>
      <c r="J237" s="38">
        <f>H237+I237</f>
        <v>45000</v>
      </c>
      <c r="K237" s="51">
        <v>45000</v>
      </c>
      <c r="L237" s="51">
        <v>0</v>
      </c>
      <c r="M237" s="38">
        <f>K237+L237</f>
        <v>45000</v>
      </c>
      <c r="N237" s="51">
        <v>45000</v>
      </c>
      <c r="O237" s="51">
        <v>0</v>
      </c>
      <c r="P237" s="38">
        <f>N237+O237</f>
        <v>45000</v>
      </c>
    </row>
    <row r="238" spans="1:16" x14ac:dyDescent="0.25">
      <c r="A238" s="96" t="s">
        <v>209</v>
      </c>
      <c r="B238" s="49" t="s">
        <v>331</v>
      </c>
      <c r="C238" s="49" t="s">
        <v>175</v>
      </c>
      <c r="D238" s="50" t="s">
        <v>355</v>
      </c>
      <c r="E238" s="49">
        <v>300</v>
      </c>
      <c r="F238" s="51">
        <v>3126522</v>
      </c>
      <c r="G238" s="51">
        <v>0</v>
      </c>
      <c r="H238" s="38">
        <f>F238+G238</f>
        <v>3126522</v>
      </c>
      <c r="I238" s="51">
        <v>0</v>
      </c>
      <c r="J238" s="38">
        <f>H238+I238</f>
        <v>3126522</v>
      </c>
      <c r="K238" s="51">
        <v>2126522</v>
      </c>
      <c r="L238" s="51">
        <v>0</v>
      </c>
      <c r="M238" s="38">
        <f>K238+L238</f>
        <v>2126522</v>
      </c>
      <c r="N238" s="51">
        <v>2126522</v>
      </c>
      <c r="O238" s="51">
        <v>0</v>
      </c>
      <c r="P238" s="38">
        <f>N238+O238</f>
        <v>2126522</v>
      </c>
    </row>
    <row r="239" spans="1:16" ht="12.75" customHeight="1" x14ac:dyDescent="0.25">
      <c r="A239" s="66" t="s">
        <v>172</v>
      </c>
      <c r="B239" s="97" t="s">
        <v>331</v>
      </c>
      <c r="C239" s="97" t="s">
        <v>175</v>
      </c>
      <c r="D239" s="98" t="s">
        <v>355</v>
      </c>
      <c r="E239" s="97">
        <v>800</v>
      </c>
      <c r="F239" s="103">
        <v>9037925</v>
      </c>
      <c r="G239" s="103">
        <v>-2116625</v>
      </c>
      <c r="H239" s="38">
        <f>F239+G239</f>
        <v>6921300</v>
      </c>
      <c r="I239" s="103">
        <v>0</v>
      </c>
      <c r="J239" s="38">
        <f>H239+I239</f>
        <v>6921300</v>
      </c>
      <c r="K239" s="103">
        <v>400000</v>
      </c>
      <c r="L239" s="103">
        <v>0</v>
      </c>
      <c r="M239" s="38">
        <f>K239+L239</f>
        <v>400000</v>
      </c>
      <c r="N239" s="103">
        <v>400000</v>
      </c>
      <c r="O239" s="103">
        <v>0</v>
      </c>
      <c r="P239" s="38">
        <f>N239+O239</f>
        <v>400000</v>
      </c>
    </row>
    <row r="240" spans="1:16" x14ac:dyDescent="0.25">
      <c r="A240" s="30" t="s">
        <v>356</v>
      </c>
      <c r="B240" s="31" t="s">
        <v>179</v>
      </c>
      <c r="C240" s="31" t="s">
        <v>0</v>
      </c>
      <c r="D240" s="32" t="s">
        <v>0</v>
      </c>
      <c r="E240" s="31" t="s">
        <v>0</v>
      </c>
      <c r="F240" s="73">
        <f t="shared" ref="F240:P240" si="106">F241</f>
        <v>39860582.539999999</v>
      </c>
      <c r="G240" s="73">
        <f t="shared" si="106"/>
        <v>1500000</v>
      </c>
      <c r="H240" s="73">
        <f t="shared" si="106"/>
        <v>41360582.539999999</v>
      </c>
      <c r="I240" s="73">
        <f t="shared" si="106"/>
        <v>0</v>
      </c>
      <c r="J240" s="73">
        <f t="shared" si="106"/>
        <v>41360582.539999999</v>
      </c>
      <c r="K240" s="73">
        <f t="shared" si="106"/>
        <v>41874640.369999997</v>
      </c>
      <c r="L240" s="73">
        <f t="shared" si="106"/>
        <v>0</v>
      </c>
      <c r="M240" s="73">
        <f t="shared" si="106"/>
        <v>41874640.369999997</v>
      </c>
      <c r="N240" s="73">
        <f t="shared" si="106"/>
        <v>43054995.619999997</v>
      </c>
      <c r="O240" s="73">
        <f t="shared" si="106"/>
        <v>0</v>
      </c>
      <c r="P240" s="73">
        <f t="shared" si="106"/>
        <v>43054995.619999997</v>
      </c>
    </row>
    <row r="241" spans="1:16" x14ac:dyDescent="0.25">
      <c r="A241" s="30" t="s">
        <v>357</v>
      </c>
      <c r="B241" s="31" t="s">
        <v>179</v>
      </c>
      <c r="C241" s="31" t="s">
        <v>234</v>
      </c>
      <c r="D241" s="32"/>
      <c r="E241" s="31" t="s">
        <v>0</v>
      </c>
      <c r="F241" s="73">
        <f t="shared" ref="F241:P241" si="107">F243</f>
        <v>39860582.539999999</v>
      </c>
      <c r="G241" s="73">
        <f t="shared" si="107"/>
        <v>1500000</v>
      </c>
      <c r="H241" s="73">
        <f t="shared" si="107"/>
        <v>41360582.539999999</v>
      </c>
      <c r="I241" s="73">
        <f t="shared" si="107"/>
        <v>0</v>
      </c>
      <c r="J241" s="73">
        <f t="shared" si="107"/>
        <v>41360582.539999999</v>
      </c>
      <c r="K241" s="73">
        <f t="shared" si="107"/>
        <v>41874640.369999997</v>
      </c>
      <c r="L241" s="73">
        <f t="shared" si="107"/>
        <v>0</v>
      </c>
      <c r="M241" s="73">
        <f t="shared" si="107"/>
        <v>41874640.369999997</v>
      </c>
      <c r="N241" s="73">
        <f t="shared" si="107"/>
        <v>43054995.619999997</v>
      </c>
      <c r="O241" s="73">
        <f t="shared" si="107"/>
        <v>0</v>
      </c>
      <c r="P241" s="73">
        <f t="shared" si="107"/>
        <v>43054995.619999997</v>
      </c>
    </row>
    <row r="242" spans="1:16" x14ac:dyDescent="0.25">
      <c r="A242" s="30" t="s">
        <v>358</v>
      </c>
      <c r="B242" s="31" t="s">
        <v>179</v>
      </c>
      <c r="C242" s="31" t="s">
        <v>234</v>
      </c>
      <c r="D242" s="32" t="s">
        <v>359</v>
      </c>
      <c r="E242" s="32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1:16" x14ac:dyDescent="0.25">
      <c r="A243" s="30" t="s">
        <v>313</v>
      </c>
      <c r="B243" s="31" t="s">
        <v>179</v>
      </c>
      <c r="C243" s="31" t="s">
        <v>234</v>
      </c>
      <c r="D243" s="32" t="s">
        <v>360</v>
      </c>
      <c r="E243" s="32" t="s">
        <v>0</v>
      </c>
      <c r="F243" s="73">
        <f t="shared" ref="F243:P244" si="108">F244</f>
        <v>39860582.539999999</v>
      </c>
      <c r="G243" s="73">
        <f t="shared" si="108"/>
        <v>1500000</v>
      </c>
      <c r="H243" s="73">
        <f t="shared" si="108"/>
        <v>41360582.539999999</v>
      </c>
      <c r="I243" s="73">
        <f t="shared" si="108"/>
        <v>0</v>
      </c>
      <c r="J243" s="73">
        <f t="shared" si="108"/>
        <v>41360582.539999999</v>
      </c>
      <c r="K243" s="73">
        <f t="shared" si="108"/>
        <v>41874640.369999997</v>
      </c>
      <c r="L243" s="73">
        <f t="shared" si="108"/>
        <v>0</v>
      </c>
      <c r="M243" s="73">
        <f t="shared" si="108"/>
        <v>41874640.369999997</v>
      </c>
      <c r="N243" s="73">
        <f t="shared" si="108"/>
        <v>43054995.619999997</v>
      </c>
      <c r="O243" s="73">
        <f t="shared" si="108"/>
        <v>0</v>
      </c>
      <c r="P243" s="73">
        <f t="shared" si="108"/>
        <v>43054995.619999997</v>
      </c>
    </row>
    <row r="244" spans="1:16" ht="15" customHeight="1" x14ac:dyDescent="0.25">
      <c r="A244" s="34" t="s">
        <v>315</v>
      </c>
      <c r="B244" s="35" t="s">
        <v>179</v>
      </c>
      <c r="C244" s="35" t="s">
        <v>234</v>
      </c>
      <c r="D244" s="36" t="s">
        <v>361</v>
      </c>
      <c r="E244" s="36"/>
      <c r="F244" s="78">
        <f t="shared" si="108"/>
        <v>39860582.539999999</v>
      </c>
      <c r="G244" s="78">
        <f t="shared" si="108"/>
        <v>1500000</v>
      </c>
      <c r="H244" s="78">
        <f t="shared" si="108"/>
        <v>41360582.539999999</v>
      </c>
      <c r="I244" s="78">
        <f t="shared" si="108"/>
        <v>0</v>
      </c>
      <c r="J244" s="78">
        <f t="shared" si="108"/>
        <v>41360582.539999999</v>
      </c>
      <c r="K244" s="78">
        <f t="shared" si="108"/>
        <v>41874640.369999997</v>
      </c>
      <c r="L244" s="78">
        <f t="shared" si="108"/>
        <v>0</v>
      </c>
      <c r="M244" s="78">
        <f t="shared" si="108"/>
        <v>41874640.369999997</v>
      </c>
      <c r="N244" s="78">
        <f t="shared" si="108"/>
        <v>43054995.619999997</v>
      </c>
      <c r="O244" s="78">
        <f t="shared" si="108"/>
        <v>0</v>
      </c>
      <c r="P244" s="78">
        <f t="shared" si="108"/>
        <v>43054995.619999997</v>
      </c>
    </row>
    <row r="245" spans="1:16" ht="30" x14ac:dyDescent="0.25">
      <c r="A245" s="105" t="s">
        <v>305</v>
      </c>
      <c r="B245" s="98" t="s">
        <v>179</v>
      </c>
      <c r="C245" s="98" t="s">
        <v>234</v>
      </c>
      <c r="D245" s="98" t="s">
        <v>361</v>
      </c>
      <c r="E245" s="98">
        <v>600</v>
      </c>
      <c r="F245" s="103">
        <v>39860582.539999999</v>
      </c>
      <c r="G245" s="103">
        <v>1500000</v>
      </c>
      <c r="H245" s="38">
        <f>F245+G245</f>
        <v>41360582.539999999</v>
      </c>
      <c r="I245" s="103">
        <v>0</v>
      </c>
      <c r="J245" s="38">
        <f>H245+I245</f>
        <v>41360582.539999999</v>
      </c>
      <c r="K245" s="103">
        <v>41874640.369999997</v>
      </c>
      <c r="L245" s="103">
        <v>0</v>
      </c>
      <c r="M245" s="38">
        <f>K245+L245</f>
        <v>41874640.369999997</v>
      </c>
      <c r="N245" s="103">
        <v>43054995.619999997</v>
      </c>
      <c r="O245" s="103">
        <v>0</v>
      </c>
      <c r="P245" s="38">
        <f>N245+O245</f>
        <v>43054995.619999997</v>
      </c>
    </row>
    <row r="246" spans="1:16" x14ac:dyDescent="0.25">
      <c r="A246" s="30" t="s">
        <v>362</v>
      </c>
      <c r="B246" s="31" t="s">
        <v>256</v>
      </c>
      <c r="C246" s="31" t="s">
        <v>0</v>
      </c>
      <c r="D246" s="32" t="s">
        <v>0</v>
      </c>
      <c r="E246" s="32" t="s">
        <v>0</v>
      </c>
      <c r="F246" s="33">
        <f t="shared" ref="F246:P250" si="109">F247</f>
        <v>2655457.7999999998</v>
      </c>
      <c r="G246" s="33">
        <f t="shared" si="109"/>
        <v>29800</v>
      </c>
      <c r="H246" s="33">
        <f t="shared" si="109"/>
        <v>2685257.8</v>
      </c>
      <c r="I246" s="33">
        <f t="shared" si="109"/>
        <v>0</v>
      </c>
      <c r="J246" s="33">
        <f t="shared" si="109"/>
        <v>2685257.8</v>
      </c>
      <c r="K246" s="33">
        <f t="shared" si="109"/>
        <v>2655457.7999999998</v>
      </c>
      <c r="L246" s="33">
        <f t="shared" si="109"/>
        <v>0</v>
      </c>
      <c r="M246" s="33">
        <f t="shared" si="109"/>
        <v>2655457.7999999998</v>
      </c>
      <c r="N246" s="33">
        <f t="shared" si="109"/>
        <v>2655457.7999999998</v>
      </c>
      <c r="O246" s="33">
        <f t="shared" si="109"/>
        <v>0</v>
      </c>
      <c r="P246" s="33">
        <f t="shared" si="109"/>
        <v>2655457.7999999998</v>
      </c>
    </row>
    <row r="247" spans="1:16" x14ac:dyDescent="0.25">
      <c r="A247" s="30" t="s">
        <v>363</v>
      </c>
      <c r="B247" s="31" t="s">
        <v>256</v>
      </c>
      <c r="C247" s="31" t="s">
        <v>162</v>
      </c>
      <c r="D247" s="32" t="s">
        <v>0</v>
      </c>
      <c r="E247" s="32" t="s">
        <v>0</v>
      </c>
      <c r="F247" s="33">
        <f t="shared" si="109"/>
        <v>2655457.7999999998</v>
      </c>
      <c r="G247" s="33">
        <f t="shared" si="109"/>
        <v>29800</v>
      </c>
      <c r="H247" s="33">
        <f t="shared" si="109"/>
        <v>2685257.8</v>
      </c>
      <c r="I247" s="33">
        <f t="shared" si="109"/>
        <v>0</v>
      </c>
      <c r="J247" s="33">
        <f t="shared" si="109"/>
        <v>2685257.8</v>
      </c>
      <c r="K247" s="33">
        <f t="shared" si="109"/>
        <v>2655457.7999999998</v>
      </c>
      <c r="L247" s="33">
        <f t="shared" si="109"/>
        <v>0</v>
      </c>
      <c r="M247" s="33">
        <f t="shared" si="109"/>
        <v>2655457.7999999998</v>
      </c>
      <c r="N247" s="33">
        <f t="shared" si="109"/>
        <v>2655457.7999999998</v>
      </c>
      <c r="O247" s="33">
        <f t="shared" si="109"/>
        <v>0</v>
      </c>
      <c r="P247" s="33">
        <f t="shared" si="109"/>
        <v>2655457.7999999998</v>
      </c>
    </row>
    <row r="248" spans="1:16" x14ac:dyDescent="0.25">
      <c r="A248" s="30" t="s">
        <v>364</v>
      </c>
      <c r="B248" s="31" t="s">
        <v>256</v>
      </c>
      <c r="C248" s="31" t="s">
        <v>162</v>
      </c>
      <c r="D248" s="32" t="s">
        <v>365</v>
      </c>
      <c r="E248" s="32" t="s">
        <v>0</v>
      </c>
      <c r="F248" s="33">
        <f t="shared" si="109"/>
        <v>2655457.7999999998</v>
      </c>
      <c r="G248" s="33">
        <f t="shared" si="109"/>
        <v>29800</v>
      </c>
      <c r="H248" s="33">
        <f t="shared" si="109"/>
        <v>2685257.8</v>
      </c>
      <c r="I248" s="33">
        <f t="shared" si="109"/>
        <v>0</v>
      </c>
      <c r="J248" s="33">
        <f t="shared" si="109"/>
        <v>2685257.8</v>
      </c>
      <c r="K248" s="33">
        <f t="shared" si="109"/>
        <v>2655457.7999999998</v>
      </c>
      <c r="L248" s="33">
        <f t="shared" si="109"/>
        <v>0</v>
      </c>
      <c r="M248" s="33">
        <f t="shared" si="109"/>
        <v>2655457.7999999998</v>
      </c>
      <c r="N248" s="33">
        <f t="shared" si="109"/>
        <v>2655457.7999999998</v>
      </c>
      <c r="O248" s="33">
        <f t="shared" si="109"/>
        <v>0</v>
      </c>
      <c r="P248" s="33">
        <f t="shared" si="109"/>
        <v>2655457.7999999998</v>
      </c>
    </row>
    <row r="249" spans="1:16" ht="15" customHeight="1" x14ac:dyDescent="0.25">
      <c r="A249" s="30" t="s">
        <v>165</v>
      </c>
      <c r="B249" s="31" t="s">
        <v>256</v>
      </c>
      <c r="C249" s="31" t="s">
        <v>162</v>
      </c>
      <c r="D249" s="32" t="s">
        <v>366</v>
      </c>
      <c r="E249" s="32" t="s">
        <v>0</v>
      </c>
      <c r="F249" s="33">
        <f t="shared" si="109"/>
        <v>2655457.7999999998</v>
      </c>
      <c r="G249" s="33">
        <f t="shared" si="109"/>
        <v>29800</v>
      </c>
      <c r="H249" s="33">
        <f t="shared" si="109"/>
        <v>2685257.8</v>
      </c>
      <c r="I249" s="33">
        <f t="shared" si="109"/>
        <v>0</v>
      </c>
      <c r="J249" s="33">
        <f t="shared" si="109"/>
        <v>2685257.8</v>
      </c>
      <c r="K249" s="33">
        <f t="shared" si="109"/>
        <v>2655457.7999999998</v>
      </c>
      <c r="L249" s="33">
        <f t="shared" si="109"/>
        <v>0</v>
      </c>
      <c r="M249" s="33">
        <f t="shared" si="109"/>
        <v>2655457.7999999998</v>
      </c>
      <c r="N249" s="33">
        <f t="shared" si="109"/>
        <v>2655457.7999999998</v>
      </c>
      <c r="O249" s="33">
        <f t="shared" si="109"/>
        <v>0</v>
      </c>
      <c r="P249" s="33">
        <f t="shared" si="109"/>
        <v>2655457.7999999998</v>
      </c>
    </row>
    <row r="250" spans="1:16" x14ac:dyDescent="0.25">
      <c r="A250" s="34" t="s">
        <v>367</v>
      </c>
      <c r="B250" s="35" t="s">
        <v>256</v>
      </c>
      <c r="C250" s="35" t="s">
        <v>162</v>
      </c>
      <c r="D250" s="36" t="s">
        <v>368</v>
      </c>
      <c r="E250" s="36" t="s">
        <v>0</v>
      </c>
      <c r="F250" s="37">
        <f t="shared" si="109"/>
        <v>2655457.7999999998</v>
      </c>
      <c r="G250" s="37">
        <f t="shared" si="109"/>
        <v>29800</v>
      </c>
      <c r="H250" s="37">
        <f t="shared" si="109"/>
        <v>2685257.8</v>
      </c>
      <c r="I250" s="37">
        <f t="shared" si="109"/>
        <v>0</v>
      </c>
      <c r="J250" s="37">
        <f t="shared" si="109"/>
        <v>2685257.8</v>
      </c>
      <c r="K250" s="37">
        <f t="shared" si="109"/>
        <v>2655457.7999999998</v>
      </c>
      <c r="L250" s="37">
        <f t="shared" si="109"/>
        <v>0</v>
      </c>
      <c r="M250" s="37">
        <f t="shared" si="109"/>
        <v>2655457.7999999998</v>
      </c>
      <c r="N250" s="37">
        <f t="shared" si="109"/>
        <v>2655457.7999999998</v>
      </c>
      <c r="O250" s="37">
        <f t="shared" si="109"/>
        <v>0</v>
      </c>
      <c r="P250" s="37">
        <f t="shared" si="109"/>
        <v>2655457.7999999998</v>
      </c>
    </row>
    <row r="251" spans="1:16" ht="30" x14ac:dyDescent="0.25">
      <c r="A251" s="96" t="s">
        <v>153</v>
      </c>
      <c r="B251" s="97" t="s">
        <v>256</v>
      </c>
      <c r="C251" s="97" t="s">
        <v>162</v>
      </c>
      <c r="D251" s="98" t="s">
        <v>368</v>
      </c>
      <c r="E251" s="98" t="s">
        <v>158</v>
      </c>
      <c r="F251" s="103">
        <v>2655457.7999999998</v>
      </c>
      <c r="G251" s="103">
        <v>29800</v>
      </c>
      <c r="H251" s="38">
        <f>F251+G251</f>
        <v>2685257.8</v>
      </c>
      <c r="I251" s="103">
        <v>0</v>
      </c>
      <c r="J251" s="38">
        <f>H251+I251</f>
        <v>2685257.8</v>
      </c>
      <c r="K251" s="103">
        <v>2655457.7999999998</v>
      </c>
      <c r="L251" s="103">
        <v>0</v>
      </c>
      <c r="M251" s="38">
        <f>K251+L251</f>
        <v>2655457.7999999998</v>
      </c>
      <c r="N251" s="103">
        <v>2655457.7999999998</v>
      </c>
      <c r="O251" s="103">
        <v>0</v>
      </c>
      <c r="P251" s="38">
        <f>N251+O251</f>
        <v>2655457.7999999998</v>
      </c>
    </row>
    <row r="252" spans="1:16" ht="12.75" customHeight="1" x14ac:dyDescent="0.25">
      <c r="A252" s="30" t="s">
        <v>369</v>
      </c>
      <c r="B252" s="31" t="s">
        <v>222</v>
      </c>
      <c r="C252" s="31" t="s">
        <v>0</v>
      </c>
      <c r="D252" s="32" t="s">
        <v>0</v>
      </c>
      <c r="E252" s="32" t="s">
        <v>0</v>
      </c>
      <c r="F252" s="33">
        <f t="shared" ref="F252:P256" si="110">F253</f>
        <v>987439.46</v>
      </c>
      <c r="G252" s="33">
        <f t="shared" si="110"/>
        <v>0</v>
      </c>
      <c r="H252" s="33">
        <f t="shared" si="110"/>
        <v>987439.46</v>
      </c>
      <c r="I252" s="33">
        <f t="shared" si="110"/>
        <v>0</v>
      </c>
      <c r="J252" s="33">
        <f t="shared" si="110"/>
        <v>987439.46</v>
      </c>
      <c r="K252" s="33">
        <f t="shared" si="110"/>
        <v>987439.46</v>
      </c>
      <c r="L252" s="33">
        <f t="shared" si="110"/>
        <v>0</v>
      </c>
      <c r="M252" s="33">
        <f t="shared" si="110"/>
        <v>987439.46</v>
      </c>
      <c r="N252" s="33">
        <f t="shared" si="110"/>
        <v>987439.46</v>
      </c>
      <c r="O252" s="33">
        <f t="shared" si="110"/>
        <v>0</v>
      </c>
      <c r="P252" s="33">
        <f t="shared" si="110"/>
        <v>987439.46</v>
      </c>
    </row>
    <row r="253" spans="1:16" x14ac:dyDescent="0.25">
      <c r="A253" s="30" t="s">
        <v>370</v>
      </c>
      <c r="B253" s="31" t="s">
        <v>222</v>
      </c>
      <c r="C253" s="31" t="s">
        <v>155</v>
      </c>
      <c r="D253" s="32" t="s">
        <v>0</v>
      </c>
      <c r="E253" s="31" t="s">
        <v>0</v>
      </c>
      <c r="F253" s="33">
        <f t="shared" si="110"/>
        <v>987439.46</v>
      </c>
      <c r="G253" s="33">
        <f t="shared" si="110"/>
        <v>0</v>
      </c>
      <c r="H253" s="33">
        <f t="shared" si="110"/>
        <v>987439.46</v>
      </c>
      <c r="I253" s="33">
        <f t="shared" si="110"/>
        <v>0</v>
      </c>
      <c r="J253" s="33">
        <f t="shared" si="110"/>
        <v>987439.46</v>
      </c>
      <c r="K253" s="33">
        <f t="shared" si="110"/>
        <v>987439.46</v>
      </c>
      <c r="L253" s="33">
        <f t="shared" si="110"/>
        <v>0</v>
      </c>
      <c r="M253" s="33">
        <f t="shared" si="110"/>
        <v>987439.46</v>
      </c>
      <c r="N253" s="33">
        <f t="shared" si="110"/>
        <v>987439.46</v>
      </c>
      <c r="O253" s="33">
        <f t="shared" si="110"/>
        <v>0</v>
      </c>
      <c r="P253" s="33">
        <f t="shared" si="110"/>
        <v>987439.46</v>
      </c>
    </row>
    <row r="254" spans="1:16" ht="14.45" customHeight="1" x14ac:dyDescent="0.25">
      <c r="A254" s="30" t="s">
        <v>145</v>
      </c>
      <c r="B254" s="31" t="s">
        <v>222</v>
      </c>
      <c r="C254" s="31" t="s">
        <v>155</v>
      </c>
      <c r="D254" s="32" t="s">
        <v>146</v>
      </c>
      <c r="E254" s="31" t="s">
        <v>0</v>
      </c>
      <c r="F254" s="33">
        <f t="shared" si="110"/>
        <v>987439.46</v>
      </c>
      <c r="G254" s="33">
        <f t="shared" si="110"/>
        <v>0</v>
      </c>
      <c r="H254" s="33">
        <f t="shared" si="110"/>
        <v>987439.46</v>
      </c>
      <c r="I254" s="33">
        <f t="shared" si="110"/>
        <v>0</v>
      </c>
      <c r="J254" s="33">
        <f t="shared" si="110"/>
        <v>987439.46</v>
      </c>
      <c r="K254" s="33">
        <f t="shared" si="110"/>
        <v>987439.46</v>
      </c>
      <c r="L254" s="33">
        <f t="shared" si="110"/>
        <v>0</v>
      </c>
      <c r="M254" s="33">
        <f t="shared" si="110"/>
        <v>987439.46</v>
      </c>
      <c r="N254" s="33">
        <f t="shared" si="110"/>
        <v>987439.46</v>
      </c>
      <c r="O254" s="33">
        <f t="shared" si="110"/>
        <v>0</v>
      </c>
      <c r="P254" s="33">
        <f t="shared" si="110"/>
        <v>987439.46</v>
      </c>
    </row>
    <row r="255" spans="1:16" x14ac:dyDescent="0.25">
      <c r="A255" s="30" t="s">
        <v>343</v>
      </c>
      <c r="B255" s="31" t="s">
        <v>222</v>
      </c>
      <c r="C255" s="31" t="s">
        <v>155</v>
      </c>
      <c r="D255" s="32" t="s">
        <v>371</v>
      </c>
      <c r="E255" s="31" t="s">
        <v>0</v>
      </c>
      <c r="F255" s="33">
        <f t="shared" si="110"/>
        <v>987439.46</v>
      </c>
      <c r="G255" s="33">
        <f t="shared" si="110"/>
        <v>0</v>
      </c>
      <c r="H255" s="33">
        <f t="shared" si="110"/>
        <v>987439.46</v>
      </c>
      <c r="I255" s="33">
        <f t="shared" si="110"/>
        <v>0</v>
      </c>
      <c r="J255" s="33">
        <f t="shared" si="110"/>
        <v>987439.46</v>
      </c>
      <c r="K255" s="33">
        <f t="shared" si="110"/>
        <v>987439.46</v>
      </c>
      <c r="L255" s="33">
        <f t="shared" si="110"/>
        <v>0</v>
      </c>
      <c r="M255" s="33">
        <f t="shared" si="110"/>
        <v>987439.46</v>
      </c>
      <c r="N255" s="33">
        <f t="shared" si="110"/>
        <v>987439.46</v>
      </c>
      <c r="O255" s="33">
        <f t="shared" si="110"/>
        <v>0</v>
      </c>
      <c r="P255" s="33">
        <f t="shared" si="110"/>
        <v>987439.46</v>
      </c>
    </row>
    <row r="256" spans="1:16" ht="40.5" customHeight="1" x14ac:dyDescent="0.25">
      <c r="A256" s="34" t="s">
        <v>372</v>
      </c>
      <c r="B256" s="35" t="s">
        <v>222</v>
      </c>
      <c r="C256" s="35" t="s">
        <v>155</v>
      </c>
      <c r="D256" s="36" t="s">
        <v>373</v>
      </c>
      <c r="E256" s="35" t="s">
        <v>0</v>
      </c>
      <c r="F256" s="37">
        <f t="shared" si="110"/>
        <v>987439.46</v>
      </c>
      <c r="G256" s="37">
        <f t="shared" si="110"/>
        <v>0</v>
      </c>
      <c r="H256" s="37">
        <f t="shared" si="110"/>
        <v>987439.46</v>
      </c>
      <c r="I256" s="37">
        <f t="shared" si="110"/>
        <v>0</v>
      </c>
      <c r="J256" s="37">
        <f t="shared" si="110"/>
        <v>987439.46</v>
      </c>
      <c r="K256" s="37">
        <f t="shared" si="110"/>
        <v>987439.46</v>
      </c>
      <c r="L256" s="37">
        <f t="shared" si="110"/>
        <v>0</v>
      </c>
      <c r="M256" s="37">
        <f t="shared" si="110"/>
        <v>987439.46</v>
      </c>
      <c r="N256" s="37">
        <f t="shared" si="110"/>
        <v>987439.46</v>
      </c>
      <c r="O256" s="37">
        <f t="shared" si="110"/>
        <v>0</v>
      </c>
      <c r="P256" s="37">
        <f t="shared" si="110"/>
        <v>987439.46</v>
      </c>
    </row>
    <row r="257" spans="1:16" ht="15.75" customHeight="1" x14ac:dyDescent="0.25">
      <c r="A257" s="96" t="s">
        <v>343</v>
      </c>
      <c r="B257" s="97" t="s">
        <v>222</v>
      </c>
      <c r="C257" s="97" t="s">
        <v>155</v>
      </c>
      <c r="D257" s="98" t="s">
        <v>373</v>
      </c>
      <c r="E257" s="97" t="s">
        <v>344</v>
      </c>
      <c r="F257" s="103">
        <v>987439.46</v>
      </c>
      <c r="G257" s="103">
        <v>0</v>
      </c>
      <c r="H257" s="38">
        <f>F257+G257</f>
        <v>987439.46</v>
      </c>
      <c r="I257" s="103">
        <v>0</v>
      </c>
      <c r="J257" s="38">
        <f>H257+I257</f>
        <v>987439.46</v>
      </c>
      <c r="K257" s="103">
        <v>987439.46</v>
      </c>
      <c r="L257" s="103">
        <v>0</v>
      </c>
      <c r="M257" s="38">
        <f>K257+L257</f>
        <v>987439.46</v>
      </c>
      <c r="N257" s="103">
        <v>987439.46</v>
      </c>
      <c r="O257" s="103">
        <v>0</v>
      </c>
      <c r="P257" s="38">
        <f>N257+O257</f>
        <v>987439.46</v>
      </c>
    </row>
    <row r="261" spans="1:16" s="167" customFormat="1" ht="14.25" x14ac:dyDescent="0.25">
      <c r="A261" s="167" t="s">
        <v>428</v>
      </c>
      <c r="D261" s="168"/>
      <c r="H261" s="118">
        <f>'Доходы 1'!E70</f>
        <v>940625421.94000006</v>
      </c>
      <c r="I261" s="118">
        <f>'Доходы 1'!F70</f>
        <v>33597289.950000003</v>
      </c>
      <c r="J261" s="118">
        <f>'Доходы 1'!G70</f>
        <v>974222711.88999987</v>
      </c>
      <c r="K261" s="118">
        <f>'Доходы 1'!H70</f>
        <v>500874812.72000003</v>
      </c>
      <c r="L261" s="118">
        <f>'Доходы 1'!I70</f>
        <v>0</v>
      </c>
      <c r="M261" s="118">
        <f>'Доходы 1'!J70</f>
        <v>500874812.72000003</v>
      </c>
      <c r="N261" s="118">
        <f>'Доходы 1'!K70</f>
        <v>516414142.72000003</v>
      </c>
      <c r="O261" s="118">
        <f>'Доходы 1'!L70</f>
        <v>0</v>
      </c>
      <c r="P261" s="118">
        <f>'Доходы 1'!M70</f>
        <v>516414142.72000003</v>
      </c>
    </row>
    <row r="262" spans="1:16" s="167" customFormat="1" ht="14.25" x14ac:dyDescent="0.25">
      <c r="D262" s="168"/>
    </row>
    <row r="263" spans="1:16" s="167" customFormat="1" ht="14.25" x14ac:dyDescent="0.25">
      <c r="D263" s="168"/>
      <c r="H263" s="118">
        <f>H6-H261</f>
        <v>241813052.94316864</v>
      </c>
      <c r="I263" s="118">
        <f t="shared" ref="I263:P263" si="111">I6-I261</f>
        <v>0</v>
      </c>
      <c r="J263" s="118">
        <f t="shared" si="111"/>
        <v>241813052.94316888</v>
      </c>
      <c r="K263" s="118">
        <f t="shared" si="111"/>
        <v>19514609.705178559</v>
      </c>
      <c r="L263" s="118">
        <f t="shared" si="111"/>
        <v>2000000</v>
      </c>
      <c r="M263" s="118">
        <f t="shared" si="111"/>
        <v>21514609.705178559</v>
      </c>
      <c r="N263" s="118">
        <f t="shared" si="111"/>
        <v>35759509.007409096</v>
      </c>
      <c r="O263" s="118">
        <f t="shared" si="111"/>
        <v>2000000</v>
      </c>
      <c r="P263" s="118">
        <f t="shared" si="111"/>
        <v>37759509.007409096</v>
      </c>
    </row>
    <row r="264" spans="1:16" s="167" customFormat="1" ht="14.25" x14ac:dyDescent="0.25">
      <c r="D264" s="168"/>
    </row>
    <row r="265" spans="1:16" s="167" customFormat="1" ht="14.25" x14ac:dyDescent="0.25">
      <c r="D265" s="168"/>
    </row>
    <row r="266" spans="1:16" s="167" customFormat="1" ht="14.25" x14ac:dyDescent="0.25">
      <c r="D266" s="168"/>
    </row>
    <row r="267" spans="1:16" s="167" customFormat="1" ht="14.25" x14ac:dyDescent="0.25">
      <c r="A267" s="167" t="s">
        <v>430</v>
      </c>
      <c r="D267" s="168"/>
      <c r="J267" s="118">
        <f>'Доходы 1'!G77+'Доходы 1'!G70-'По разделам 4'!J6</f>
        <v>-3.1688213348388672E-3</v>
      </c>
    </row>
  </sheetData>
  <mergeCells count="3">
    <mergeCell ref="A2:P2"/>
    <mergeCell ref="A3:P3"/>
    <mergeCell ref="A4:P4"/>
  </mergeCell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95"/>
  <sheetViews>
    <sheetView view="pageBreakPreview" zoomScale="60" zoomScaleNormal="90" workbookViewId="0">
      <pane xSplit="6" ySplit="5" topLeftCell="I6" activePane="bottomRight" state="frozen"/>
      <selection pane="topRight" activeCell="G1" sqref="G1"/>
      <selection pane="bottomLeft" activeCell="A6" sqref="A6"/>
      <selection pane="bottomRight" activeCell="I16" sqref="I16"/>
    </sheetView>
  </sheetViews>
  <sheetFormatPr defaultRowHeight="15" outlineLevelRow="3" outlineLevelCol="1" x14ac:dyDescent="0.25"/>
  <cols>
    <col min="1" max="1" width="65.140625" style="93" customWidth="1"/>
    <col min="2" max="2" width="7.7109375" style="93" customWidth="1"/>
    <col min="3" max="3" width="7.85546875" style="94" customWidth="1"/>
    <col min="4" max="4" width="8" style="94" customWidth="1"/>
    <col min="5" max="5" width="13.5703125" style="94" customWidth="1"/>
    <col min="6" max="6" width="8" style="94" customWidth="1"/>
    <col min="7" max="7" width="18.140625" style="94" hidden="1" customWidth="1" outlineLevel="1"/>
    <col min="8" max="8" width="16.5703125" style="94" hidden="1" customWidth="1" outlineLevel="1"/>
    <col min="9" max="9" width="18.140625" style="94" customWidth="1" collapsed="1"/>
    <col min="10" max="10" width="16.5703125" style="94" customWidth="1"/>
    <col min="11" max="11" width="18.140625" style="94" customWidth="1"/>
    <col min="12" max="12" width="17.140625" style="93" customWidth="1"/>
    <col min="13" max="13" width="16.5703125" style="94" customWidth="1"/>
    <col min="14" max="14" width="18.140625" style="94" customWidth="1"/>
    <col min="15" max="15" width="17.140625" style="93" customWidth="1"/>
    <col min="16" max="16" width="16.5703125" style="94" customWidth="1"/>
    <col min="17" max="17" width="18.140625" style="94" customWidth="1"/>
    <col min="18" max="18" width="17.140625" style="93" customWidth="1"/>
    <col min="19" max="19" width="18" style="93" customWidth="1"/>
    <col min="20" max="16384" width="9.140625" style="93"/>
  </cols>
  <sheetData>
    <row r="1" spans="1:17" x14ac:dyDescent="0.25">
      <c r="A1" s="93" t="s">
        <v>0</v>
      </c>
    </row>
    <row r="2" spans="1:17" ht="42.2" customHeight="1" x14ac:dyDescent="0.25">
      <c r="A2" s="228" t="s">
        <v>437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ht="32.25" customHeight="1" x14ac:dyDescent="0.25">
      <c r="A3" s="229" t="s">
        <v>393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7" ht="18" customHeight="1" x14ac:dyDescent="0.25">
      <c r="A4" s="228" t="s">
        <v>104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24.75" customHeight="1" x14ac:dyDescent="0.25">
      <c r="A5" s="79" t="s">
        <v>2</v>
      </c>
      <c r="B5" s="79" t="s">
        <v>394</v>
      </c>
      <c r="C5" s="9" t="s">
        <v>136</v>
      </c>
      <c r="D5" s="9" t="s">
        <v>137</v>
      </c>
      <c r="E5" s="9" t="s">
        <v>138</v>
      </c>
      <c r="F5" s="9" t="s">
        <v>139</v>
      </c>
      <c r="G5" s="9">
        <v>2023</v>
      </c>
      <c r="H5" s="16" t="s">
        <v>107</v>
      </c>
      <c r="I5" s="17">
        <v>2023</v>
      </c>
      <c r="J5" s="16" t="s">
        <v>107</v>
      </c>
      <c r="K5" s="17" t="s">
        <v>109</v>
      </c>
      <c r="L5" s="9">
        <v>2024</v>
      </c>
      <c r="M5" s="16" t="s">
        <v>107</v>
      </c>
      <c r="N5" s="17" t="s">
        <v>129</v>
      </c>
      <c r="O5" s="9">
        <v>2025</v>
      </c>
      <c r="P5" s="17" t="s">
        <v>107</v>
      </c>
      <c r="Q5" s="18" t="s">
        <v>130</v>
      </c>
    </row>
    <row r="6" spans="1:17" ht="34.5" customHeight="1" x14ac:dyDescent="0.25">
      <c r="A6" s="80" t="s">
        <v>395</v>
      </c>
      <c r="B6" s="79">
        <v>801</v>
      </c>
      <c r="C6" s="9" t="s">
        <v>0</v>
      </c>
      <c r="D6" s="9" t="s">
        <v>0</v>
      </c>
      <c r="E6" s="9" t="s">
        <v>0</v>
      </c>
      <c r="F6" s="9" t="s">
        <v>0</v>
      </c>
      <c r="G6" s="119">
        <f t="shared" ref="G6:Q6" si="0">G7+G18+G189+G198</f>
        <v>629072631.4231689</v>
      </c>
      <c r="H6" s="119">
        <f t="shared" si="0"/>
        <v>553365843.46000004</v>
      </c>
      <c r="I6" s="119">
        <f t="shared" si="0"/>
        <v>1182438474.8831687</v>
      </c>
      <c r="J6" s="119">
        <f t="shared" si="0"/>
        <v>33597289.949999988</v>
      </c>
      <c r="K6" s="119">
        <f t="shared" si="0"/>
        <v>1216035764.833169</v>
      </c>
      <c r="L6" s="120">
        <f t="shared" si="0"/>
        <v>520389422.42517871</v>
      </c>
      <c r="M6" s="119">
        <f t="shared" si="0"/>
        <v>2000000</v>
      </c>
      <c r="N6" s="119">
        <f t="shared" si="0"/>
        <v>522389422.42517871</v>
      </c>
      <c r="O6" s="119">
        <f t="shared" si="0"/>
        <v>552173651.72740912</v>
      </c>
      <c r="P6" s="119">
        <f t="shared" si="0"/>
        <v>2000000</v>
      </c>
      <c r="Q6" s="174">
        <f t="shared" si="0"/>
        <v>554173651.72740912</v>
      </c>
    </row>
    <row r="7" spans="1:17" ht="15" customHeight="1" x14ac:dyDescent="0.25">
      <c r="A7" s="87" t="s">
        <v>396</v>
      </c>
      <c r="B7" s="121" t="s">
        <v>397</v>
      </c>
      <c r="C7" s="121" t="s">
        <v>0</v>
      </c>
      <c r="D7" s="121" t="s">
        <v>0</v>
      </c>
      <c r="E7" s="121" t="s">
        <v>0</v>
      </c>
      <c r="F7" s="121" t="s">
        <v>0</v>
      </c>
      <c r="G7" s="122">
        <f t="shared" ref="G7:Q10" si="1">G8</f>
        <v>5768666.1600000001</v>
      </c>
      <c r="H7" s="122">
        <f t="shared" si="1"/>
        <v>0</v>
      </c>
      <c r="I7" s="122">
        <f t="shared" si="1"/>
        <v>5768666.1600000001</v>
      </c>
      <c r="J7" s="122">
        <f t="shared" si="1"/>
        <v>0</v>
      </c>
      <c r="K7" s="122">
        <f t="shared" si="1"/>
        <v>5768666.1600000001</v>
      </c>
      <c r="L7" s="122">
        <f t="shared" si="1"/>
        <v>5834655.0800000001</v>
      </c>
      <c r="M7" s="122">
        <f t="shared" si="1"/>
        <v>0</v>
      </c>
      <c r="N7" s="122">
        <f t="shared" si="1"/>
        <v>5834655.0800000001</v>
      </c>
      <c r="O7" s="122">
        <f t="shared" si="1"/>
        <v>6066865.0700000003</v>
      </c>
      <c r="P7" s="122">
        <f t="shared" si="1"/>
        <v>0</v>
      </c>
      <c r="Q7" s="122">
        <f t="shared" si="1"/>
        <v>6066865.0700000003</v>
      </c>
    </row>
    <row r="8" spans="1:17" x14ac:dyDescent="0.25">
      <c r="A8" s="30" t="s">
        <v>141</v>
      </c>
      <c r="B8" s="31" t="s">
        <v>397</v>
      </c>
      <c r="C8" s="32" t="s">
        <v>142</v>
      </c>
      <c r="D8" s="32" t="s">
        <v>0</v>
      </c>
      <c r="E8" s="32" t="s">
        <v>0</v>
      </c>
      <c r="F8" s="32" t="s">
        <v>0</v>
      </c>
      <c r="G8" s="42">
        <f t="shared" si="1"/>
        <v>5768666.1600000001</v>
      </c>
      <c r="H8" s="42">
        <f t="shared" si="1"/>
        <v>0</v>
      </c>
      <c r="I8" s="42">
        <f t="shared" si="1"/>
        <v>5768666.1600000001</v>
      </c>
      <c r="J8" s="42">
        <f t="shared" si="1"/>
        <v>0</v>
      </c>
      <c r="K8" s="42">
        <f t="shared" si="1"/>
        <v>5768666.1600000001</v>
      </c>
      <c r="L8" s="33">
        <f t="shared" si="1"/>
        <v>5834655.0800000001</v>
      </c>
      <c r="M8" s="42">
        <f t="shared" si="1"/>
        <v>0</v>
      </c>
      <c r="N8" s="42">
        <f t="shared" si="1"/>
        <v>5834655.0800000001</v>
      </c>
      <c r="O8" s="33">
        <f t="shared" si="1"/>
        <v>6066865.0700000003</v>
      </c>
      <c r="P8" s="42">
        <f t="shared" si="1"/>
        <v>0</v>
      </c>
      <c r="Q8" s="42">
        <f t="shared" si="1"/>
        <v>6066865.0700000003</v>
      </c>
    </row>
    <row r="9" spans="1:17" ht="25.5" customHeight="1" x14ac:dyDescent="0.25">
      <c r="A9" s="30" t="s">
        <v>154</v>
      </c>
      <c r="B9" s="31" t="s">
        <v>397</v>
      </c>
      <c r="C9" s="32" t="s">
        <v>142</v>
      </c>
      <c r="D9" s="32" t="s">
        <v>155</v>
      </c>
      <c r="E9" s="32" t="s">
        <v>0</v>
      </c>
      <c r="F9" s="32" t="s">
        <v>0</v>
      </c>
      <c r="G9" s="42">
        <f t="shared" si="1"/>
        <v>5768666.1600000001</v>
      </c>
      <c r="H9" s="42">
        <f t="shared" si="1"/>
        <v>0</v>
      </c>
      <c r="I9" s="42">
        <f t="shared" si="1"/>
        <v>5768666.1600000001</v>
      </c>
      <c r="J9" s="42">
        <f t="shared" si="1"/>
        <v>0</v>
      </c>
      <c r="K9" s="42">
        <f t="shared" si="1"/>
        <v>5768666.1600000001</v>
      </c>
      <c r="L9" s="33">
        <f t="shared" si="1"/>
        <v>5834655.0800000001</v>
      </c>
      <c r="M9" s="42">
        <f t="shared" si="1"/>
        <v>0</v>
      </c>
      <c r="N9" s="42">
        <f t="shared" si="1"/>
        <v>5834655.0800000001</v>
      </c>
      <c r="O9" s="33">
        <f t="shared" si="1"/>
        <v>6066865.0700000003</v>
      </c>
      <c r="P9" s="42">
        <f t="shared" si="1"/>
        <v>0</v>
      </c>
      <c r="Q9" s="42">
        <f t="shared" si="1"/>
        <v>6066865.0700000003</v>
      </c>
    </row>
    <row r="10" spans="1:17" x14ac:dyDescent="0.25">
      <c r="A10" s="30" t="s">
        <v>145</v>
      </c>
      <c r="B10" s="31" t="s">
        <v>397</v>
      </c>
      <c r="C10" s="32" t="s">
        <v>142</v>
      </c>
      <c r="D10" s="32" t="s">
        <v>155</v>
      </c>
      <c r="E10" s="32" t="s">
        <v>146</v>
      </c>
      <c r="F10" s="32" t="s">
        <v>0</v>
      </c>
      <c r="G10" s="42">
        <f t="shared" si="1"/>
        <v>5768666.1600000001</v>
      </c>
      <c r="H10" s="42">
        <f t="shared" si="1"/>
        <v>0</v>
      </c>
      <c r="I10" s="42">
        <f t="shared" si="1"/>
        <v>5768666.1600000001</v>
      </c>
      <c r="J10" s="42">
        <f t="shared" si="1"/>
        <v>0</v>
      </c>
      <c r="K10" s="42">
        <f t="shared" si="1"/>
        <v>5768666.1600000001</v>
      </c>
      <c r="L10" s="33">
        <f t="shared" si="1"/>
        <v>5834655.0800000001</v>
      </c>
      <c r="M10" s="42">
        <f t="shared" si="1"/>
        <v>0</v>
      </c>
      <c r="N10" s="42">
        <f t="shared" si="1"/>
        <v>5834655.0800000001</v>
      </c>
      <c r="O10" s="33">
        <f t="shared" si="1"/>
        <v>6066865.0700000003</v>
      </c>
      <c r="P10" s="42">
        <f t="shared" si="1"/>
        <v>0</v>
      </c>
      <c r="Q10" s="42">
        <f t="shared" si="1"/>
        <v>6066865.0700000003</v>
      </c>
    </row>
    <row r="11" spans="1:17" ht="25.5" x14ac:dyDescent="0.25">
      <c r="A11" s="30" t="s">
        <v>147</v>
      </c>
      <c r="B11" s="31" t="s">
        <v>397</v>
      </c>
      <c r="C11" s="32" t="s">
        <v>142</v>
      </c>
      <c r="D11" s="32" t="s">
        <v>155</v>
      </c>
      <c r="E11" s="32" t="s">
        <v>148</v>
      </c>
      <c r="F11" s="32" t="s">
        <v>0</v>
      </c>
      <c r="G11" s="42">
        <f t="shared" ref="G11:Q11" si="2">G12+G15</f>
        <v>5768666.1600000001</v>
      </c>
      <c r="H11" s="42">
        <f t="shared" si="2"/>
        <v>0</v>
      </c>
      <c r="I11" s="42">
        <f t="shared" si="2"/>
        <v>5768666.1600000001</v>
      </c>
      <c r="J11" s="42">
        <f t="shared" si="2"/>
        <v>0</v>
      </c>
      <c r="K11" s="42">
        <f t="shared" si="2"/>
        <v>5768666.1600000001</v>
      </c>
      <c r="L11" s="33">
        <f t="shared" si="2"/>
        <v>5834655.0800000001</v>
      </c>
      <c r="M11" s="42">
        <f t="shared" si="2"/>
        <v>0</v>
      </c>
      <c r="N11" s="42">
        <f t="shared" si="2"/>
        <v>5834655.0800000001</v>
      </c>
      <c r="O11" s="33">
        <f t="shared" si="2"/>
        <v>6066865.0700000003</v>
      </c>
      <c r="P11" s="42">
        <f t="shared" si="2"/>
        <v>0</v>
      </c>
      <c r="Q11" s="42">
        <f t="shared" si="2"/>
        <v>6066865.0700000003</v>
      </c>
    </row>
    <row r="12" spans="1:17" x14ac:dyDescent="0.25">
      <c r="A12" s="34" t="s">
        <v>156</v>
      </c>
      <c r="B12" s="35" t="s">
        <v>397</v>
      </c>
      <c r="C12" s="36" t="s">
        <v>142</v>
      </c>
      <c r="D12" s="36" t="s">
        <v>155</v>
      </c>
      <c r="E12" s="36" t="s">
        <v>157</v>
      </c>
      <c r="F12" s="36" t="s">
        <v>0</v>
      </c>
      <c r="G12" s="43">
        <f t="shared" ref="G12:Q12" si="3">G13+G14</f>
        <v>5178370.17</v>
      </c>
      <c r="H12" s="43">
        <f t="shared" si="3"/>
        <v>0</v>
      </c>
      <c r="I12" s="43">
        <f t="shared" si="3"/>
        <v>5178370.17</v>
      </c>
      <c r="J12" s="43">
        <f t="shared" si="3"/>
        <v>0</v>
      </c>
      <c r="K12" s="43">
        <f t="shared" si="3"/>
        <v>5178370.17</v>
      </c>
      <c r="L12" s="37">
        <f t="shared" si="3"/>
        <v>5222744.3099999996</v>
      </c>
      <c r="M12" s="43">
        <f t="shared" si="3"/>
        <v>0</v>
      </c>
      <c r="N12" s="43">
        <f t="shared" si="3"/>
        <v>5222744.3099999996</v>
      </c>
      <c r="O12" s="37">
        <f t="shared" si="3"/>
        <v>5430495.4800000004</v>
      </c>
      <c r="P12" s="43">
        <f t="shared" si="3"/>
        <v>0</v>
      </c>
      <c r="Q12" s="43">
        <f t="shared" si="3"/>
        <v>5430495.4800000004</v>
      </c>
    </row>
    <row r="13" spans="1:17" x14ac:dyDescent="0.25">
      <c r="A13" s="96" t="s">
        <v>151</v>
      </c>
      <c r="B13" s="97" t="s">
        <v>397</v>
      </c>
      <c r="C13" s="98" t="s">
        <v>142</v>
      </c>
      <c r="D13" s="98" t="s">
        <v>155</v>
      </c>
      <c r="E13" s="98" t="s">
        <v>157</v>
      </c>
      <c r="F13" s="98" t="s">
        <v>152</v>
      </c>
      <c r="G13" s="103">
        <v>4894922</v>
      </c>
      <c r="H13" s="103">
        <v>0</v>
      </c>
      <c r="I13" s="103">
        <f>G13+H13</f>
        <v>4894922</v>
      </c>
      <c r="J13" s="103">
        <v>0</v>
      </c>
      <c r="K13" s="103">
        <f>I13+J13</f>
        <v>4894922</v>
      </c>
      <c r="L13" s="99">
        <v>5095320.92</v>
      </c>
      <c r="M13" s="103">
        <v>0</v>
      </c>
      <c r="N13" s="103">
        <f>L13+M13</f>
        <v>5095320.92</v>
      </c>
      <c r="O13" s="99">
        <v>5299127.16</v>
      </c>
      <c r="P13" s="103">
        <v>0</v>
      </c>
      <c r="Q13" s="103">
        <f>O13+P13</f>
        <v>5299127.16</v>
      </c>
    </row>
    <row r="14" spans="1:17" ht="30" x14ac:dyDescent="0.25">
      <c r="A14" s="96" t="s">
        <v>153</v>
      </c>
      <c r="B14" s="97" t="s">
        <v>397</v>
      </c>
      <c r="C14" s="98" t="s">
        <v>142</v>
      </c>
      <c r="D14" s="98" t="s">
        <v>155</v>
      </c>
      <c r="E14" s="98" t="s">
        <v>157</v>
      </c>
      <c r="F14" s="98" t="s">
        <v>158</v>
      </c>
      <c r="G14" s="103">
        <v>283448.17</v>
      </c>
      <c r="H14" s="103">
        <v>0</v>
      </c>
      <c r="I14" s="103">
        <f>G14+H14</f>
        <v>283448.17</v>
      </c>
      <c r="J14" s="103">
        <v>0</v>
      </c>
      <c r="K14" s="103">
        <f>I14+J14</f>
        <v>283448.17</v>
      </c>
      <c r="L14" s="99">
        <v>127423.39</v>
      </c>
      <c r="M14" s="103">
        <v>0</v>
      </c>
      <c r="N14" s="103">
        <f>L14+M14</f>
        <v>127423.39</v>
      </c>
      <c r="O14" s="99">
        <v>131368.32000000001</v>
      </c>
      <c r="P14" s="103">
        <v>0</v>
      </c>
      <c r="Q14" s="103">
        <f>O14+P14</f>
        <v>131368.32000000001</v>
      </c>
    </row>
    <row r="15" spans="1:17" x14ac:dyDescent="0.25">
      <c r="A15" s="34" t="s">
        <v>159</v>
      </c>
      <c r="B15" s="35" t="s">
        <v>397</v>
      </c>
      <c r="C15" s="36" t="s">
        <v>142</v>
      </c>
      <c r="D15" s="36" t="s">
        <v>155</v>
      </c>
      <c r="E15" s="36" t="s">
        <v>160</v>
      </c>
      <c r="F15" s="36" t="s">
        <v>0</v>
      </c>
      <c r="G15" s="43">
        <f t="shared" ref="G15:Q15" si="4">G16+G17</f>
        <v>590295.99</v>
      </c>
      <c r="H15" s="43">
        <f t="shared" si="4"/>
        <v>0</v>
      </c>
      <c r="I15" s="43">
        <f t="shared" si="4"/>
        <v>590295.99</v>
      </c>
      <c r="J15" s="43">
        <f t="shared" si="4"/>
        <v>0</v>
      </c>
      <c r="K15" s="43">
        <f t="shared" si="4"/>
        <v>590295.99</v>
      </c>
      <c r="L15" s="37">
        <f t="shared" si="4"/>
        <v>611910.77</v>
      </c>
      <c r="M15" s="43">
        <f t="shared" si="4"/>
        <v>0</v>
      </c>
      <c r="N15" s="43">
        <f t="shared" si="4"/>
        <v>611910.77</v>
      </c>
      <c r="O15" s="37">
        <f t="shared" si="4"/>
        <v>636369.59000000008</v>
      </c>
      <c r="P15" s="43">
        <f t="shared" si="4"/>
        <v>0</v>
      </c>
      <c r="Q15" s="43">
        <f t="shared" si="4"/>
        <v>636369.59000000008</v>
      </c>
    </row>
    <row r="16" spans="1:17" x14ac:dyDescent="0.25">
      <c r="A16" s="96" t="s">
        <v>151</v>
      </c>
      <c r="B16" s="97" t="s">
        <v>397</v>
      </c>
      <c r="C16" s="98" t="s">
        <v>142</v>
      </c>
      <c r="D16" s="98" t="s">
        <v>155</v>
      </c>
      <c r="E16" s="98" t="s">
        <v>160</v>
      </c>
      <c r="F16" s="98" t="s">
        <v>152</v>
      </c>
      <c r="G16" s="103">
        <v>450012</v>
      </c>
      <c r="H16" s="103">
        <v>0</v>
      </c>
      <c r="I16" s="103">
        <f>G16+H16</f>
        <v>450012</v>
      </c>
      <c r="J16" s="103">
        <v>0</v>
      </c>
      <c r="K16" s="103">
        <f>I16+J16</f>
        <v>450012</v>
      </c>
      <c r="L16" s="99">
        <v>465734.85</v>
      </c>
      <c r="M16" s="103">
        <v>0</v>
      </c>
      <c r="N16" s="103">
        <f>L16+M16</f>
        <v>465734.85</v>
      </c>
      <c r="O16" s="99">
        <v>484346.64</v>
      </c>
      <c r="P16" s="103">
        <v>0</v>
      </c>
      <c r="Q16" s="103">
        <f>O16+P16</f>
        <v>484346.64</v>
      </c>
    </row>
    <row r="17" spans="1:19" ht="30" x14ac:dyDescent="0.25">
      <c r="A17" s="96" t="s">
        <v>153</v>
      </c>
      <c r="B17" s="97" t="s">
        <v>397</v>
      </c>
      <c r="C17" s="98" t="s">
        <v>142</v>
      </c>
      <c r="D17" s="98" t="s">
        <v>155</v>
      </c>
      <c r="E17" s="98" t="s">
        <v>160</v>
      </c>
      <c r="F17" s="98" t="s">
        <v>158</v>
      </c>
      <c r="G17" s="103">
        <v>140283.99</v>
      </c>
      <c r="H17" s="103">
        <v>0</v>
      </c>
      <c r="I17" s="103">
        <f>G17+H17</f>
        <v>140283.99</v>
      </c>
      <c r="J17" s="103">
        <v>0</v>
      </c>
      <c r="K17" s="103">
        <f>I17+J17</f>
        <v>140283.99</v>
      </c>
      <c r="L17" s="99">
        <v>146175.92000000001</v>
      </c>
      <c r="M17" s="103">
        <v>0</v>
      </c>
      <c r="N17" s="103">
        <f>L17+M17</f>
        <v>146175.92000000001</v>
      </c>
      <c r="O17" s="99">
        <v>152022.95000000001</v>
      </c>
      <c r="P17" s="103">
        <v>0</v>
      </c>
      <c r="Q17" s="103">
        <f>O17+P17</f>
        <v>152022.95000000001</v>
      </c>
    </row>
    <row r="18" spans="1:19" ht="25.5" x14ac:dyDescent="0.25">
      <c r="A18" s="87" t="s">
        <v>398</v>
      </c>
      <c r="B18" s="121" t="s">
        <v>397</v>
      </c>
      <c r="C18" s="121" t="s">
        <v>0</v>
      </c>
      <c r="D18" s="121" t="s">
        <v>0</v>
      </c>
      <c r="E18" s="121" t="s">
        <v>0</v>
      </c>
      <c r="F18" s="121" t="s">
        <v>0</v>
      </c>
      <c r="G18" s="122">
        <f t="shared" ref="G18:Q18" si="5">G19+G71+G90+G112+G138+G177+G183+G126+G132+G171</f>
        <v>352474962.86000001</v>
      </c>
      <c r="H18" s="122">
        <f t="shared" si="5"/>
        <v>200003424.65000001</v>
      </c>
      <c r="I18" s="122">
        <f t="shared" si="5"/>
        <v>552478387.50999999</v>
      </c>
      <c r="J18" s="122">
        <f t="shared" si="5"/>
        <v>-21550999.170000002</v>
      </c>
      <c r="K18" s="122">
        <f t="shared" si="5"/>
        <v>530927388.33999997</v>
      </c>
      <c r="L18" s="122">
        <f t="shared" si="5"/>
        <v>320413279.29000008</v>
      </c>
      <c r="M18" s="122">
        <f t="shared" si="5"/>
        <v>2000000</v>
      </c>
      <c r="N18" s="122">
        <f t="shared" si="5"/>
        <v>322413279.29000008</v>
      </c>
      <c r="O18" s="122">
        <f t="shared" si="5"/>
        <v>342004874.14000005</v>
      </c>
      <c r="P18" s="122">
        <f t="shared" si="5"/>
        <v>2000000</v>
      </c>
      <c r="Q18" s="122">
        <f t="shared" si="5"/>
        <v>344004874.14000005</v>
      </c>
    </row>
    <row r="19" spans="1:19" x14ac:dyDescent="0.25">
      <c r="A19" s="30" t="s">
        <v>141</v>
      </c>
      <c r="B19" s="31" t="s">
        <v>397</v>
      </c>
      <c r="C19" s="32" t="s">
        <v>142</v>
      </c>
      <c r="D19" s="32" t="s">
        <v>0</v>
      </c>
      <c r="E19" s="32" t="s">
        <v>0</v>
      </c>
      <c r="F19" s="32" t="s">
        <v>0</v>
      </c>
      <c r="G19" s="42">
        <f t="shared" ref="G19:Q19" si="6">G20+G26+G39+G46</f>
        <v>193298327.77000001</v>
      </c>
      <c r="H19" s="42">
        <f t="shared" si="6"/>
        <v>4397944.84</v>
      </c>
      <c r="I19" s="42">
        <f t="shared" si="6"/>
        <v>197696272.61000001</v>
      </c>
      <c r="J19" s="42">
        <f t="shared" si="6"/>
        <v>4651445.5900000008</v>
      </c>
      <c r="K19" s="42">
        <f t="shared" si="6"/>
        <v>202347718.19999999</v>
      </c>
      <c r="L19" s="33">
        <f t="shared" si="6"/>
        <v>203702382.65000004</v>
      </c>
      <c r="M19" s="42">
        <f t="shared" si="6"/>
        <v>0</v>
      </c>
      <c r="N19" s="42">
        <f t="shared" si="6"/>
        <v>203702382.65000004</v>
      </c>
      <c r="O19" s="33">
        <f t="shared" si="6"/>
        <v>224035073.80000001</v>
      </c>
      <c r="P19" s="42">
        <f t="shared" si="6"/>
        <v>0</v>
      </c>
      <c r="Q19" s="42">
        <f t="shared" si="6"/>
        <v>224035073.80000001</v>
      </c>
      <c r="R19" s="95"/>
      <c r="S19" s="95"/>
    </row>
    <row r="20" spans="1:19" ht="25.5" x14ac:dyDescent="0.25">
      <c r="A20" s="30" t="s">
        <v>143</v>
      </c>
      <c r="B20" s="31" t="s">
        <v>397</v>
      </c>
      <c r="C20" s="32" t="s">
        <v>142</v>
      </c>
      <c r="D20" s="32" t="s">
        <v>144</v>
      </c>
      <c r="E20" s="32" t="s">
        <v>0</v>
      </c>
      <c r="F20" s="32" t="s">
        <v>0</v>
      </c>
      <c r="G20" s="42">
        <f t="shared" ref="G20:Q22" si="7">G21</f>
        <v>8498112.1999999993</v>
      </c>
      <c r="H20" s="42">
        <f t="shared" si="7"/>
        <v>0</v>
      </c>
      <c r="I20" s="42">
        <f t="shared" si="7"/>
        <v>8498112.1999999993</v>
      </c>
      <c r="J20" s="42">
        <f t="shared" si="7"/>
        <v>500616</v>
      </c>
      <c r="K20" s="42">
        <f t="shared" si="7"/>
        <v>8998728.1999999993</v>
      </c>
      <c r="L20" s="33">
        <f t="shared" si="7"/>
        <v>8843913.1300000008</v>
      </c>
      <c r="M20" s="42">
        <f t="shared" si="7"/>
        <v>0</v>
      </c>
      <c r="N20" s="42">
        <f t="shared" si="7"/>
        <v>8843913.1300000008</v>
      </c>
      <c r="O20" s="33">
        <f t="shared" si="7"/>
        <v>9173279.3300000001</v>
      </c>
      <c r="P20" s="42">
        <f t="shared" si="7"/>
        <v>0</v>
      </c>
      <c r="Q20" s="42">
        <f t="shared" si="7"/>
        <v>9173279.3300000001</v>
      </c>
      <c r="R20" s="95"/>
    </row>
    <row r="21" spans="1:19" x14ac:dyDescent="0.25">
      <c r="A21" s="30" t="s">
        <v>145</v>
      </c>
      <c r="B21" s="31" t="s">
        <v>397</v>
      </c>
      <c r="C21" s="32" t="s">
        <v>142</v>
      </c>
      <c r="D21" s="32" t="s">
        <v>144</v>
      </c>
      <c r="E21" s="32" t="s">
        <v>146</v>
      </c>
      <c r="F21" s="32" t="s">
        <v>0</v>
      </c>
      <c r="G21" s="42">
        <f t="shared" si="7"/>
        <v>8498112.1999999993</v>
      </c>
      <c r="H21" s="42">
        <f t="shared" si="7"/>
        <v>0</v>
      </c>
      <c r="I21" s="42">
        <f t="shared" si="7"/>
        <v>8498112.1999999993</v>
      </c>
      <c r="J21" s="42">
        <f t="shared" si="7"/>
        <v>500616</v>
      </c>
      <c r="K21" s="42">
        <f t="shared" si="7"/>
        <v>8998728.1999999993</v>
      </c>
      <c r="L21" s="33">
        <f t="shared" si="7"/>
        <v>8843913.1300000008</v>
      </c>
      <c r="M21" s="42">
        <f t="shared" si="7"/>
        <v>0</v>
      </c>
      <c r="N21" s="42">
        <f t="shared" si="7"/>
        <v>8843913.1300000008</v>
      </c>
      <c r="O21" s="33">
        <f t="shared" si="7"/>
        <v>9173279.3300000001</v>
      </c>
      <c r="P21" s="42">
        <f t="shared" si="7"/>
        <v>0</v>
      </c>
      <c r="Q21" s="42">
        <f t="shared" si="7"/>
        <v>9173279.3300000001</v>
      </c>
    </row>
    <row r="22" spans="1:19" ht="25.5" x14ac:dyDescent="0.25">
      <c r="A22" s="30" t="s">
        <v>147</v>
      </c>
      <c r="B22" s="31" t="s">
        <v>397</v>
      </c>
      <c r="C22" s="32" t="s">
        <v>142</v>
      </c>
      <c r="D22" s="32" t="s">
        <v>144</v>
      </c>
      <c r="E22" s="32" t="s">
        <v>148</v>
      </c>
      <c r="F22" s="32" t="s">
        <v>0</v>
      </c>
      <c r="G22" s="42">
        <f t="shared" si="7"/>
        <v>8498112.1999999993</v>
      </c>
      <c r="H22" s="42">
        <f t="shared" si="7"/>
        <v>0</v>
      </c>
      <c r="I22" s="42">
        <f t="shared" si="7"/>
        <v>8498112.1999999993</v>
      </c>
      <c r="J22" s="42">
        <f t="shared" si="7"/>
        <v>500616</v>
      </c>
      <c r="K22" s="42">
        <f t="shared" si="7"/>
        <v>8998728.1999999993</v>
      </c>
      <c r="L22" s="33">
        <f t="shared" si="7"/>
        <v>8843913.1300000008</v>
      </c>
      <c r="M22" s="42">
        <f t="shared" si="7"/>
        <v>0</v>
      </c>
      <c r="N22" s="42">
        <f t="shared" si="7"/>
        <v>8843913.1300000008</v>
      </c>
      <c r="O22" s="33">
        <f t="shared" si="7"/>
        <v>9173279.3300000001</v>
      </c>
      <c r="P22" s="42">
        <f t="shared" si="7"/>
        <v>0</v>
      </c>
      <c r="Q22" s="42">
        <f t="shared" si="7"/>
        <v>9173279.3300000001</v>
      </c>
    </row>
    <row r="23" spans="1:19" x14ac:dyDescent="0.25">
      <c r="A23" s="34" t="s">
        <v>149</v>
      </c>
      <c r="B23" s="35" t="s">
        <v>397</v>
      </c>
      <c r="C23" s="36" t="s">
        <v>142</v>
      </c>
      <c r="D23" s="36" t="s">
        <v>144</v>
      </c>
      <c r="E23" s="36" t="s">
        <v>150</v>
      </c>
      <c r="F23" s="36" t="s">
        <v>0</v>
      </c>
      <c r="G23" s="43">
        <f>G24+G25</f>
        <v>8498112.1999999993</v>
      </c>
      <c r="H23" s="43">
        <f>H24+H25</f>
        <v>0</v>
      </c>
      <c r="I23" s="43">
        <f>I24+I25</f>
        <v>8498112.1999999993</v>
      </c>
      <c r="J23" s="43">
        <f>J24+J25</f>
        <v>500616</v>
      </c>
      <c r="K23" s="43">
        <f>K24+K25</f>
        <v>8998728.1999999993</v>
      </c>
      <c r="L23" s="37">
        <f t="shared" ref="L23:O23" si="8">L24+L25</f>
        <v>8843913.1300000008</v>
      </c>
      <c r="M23" s="43">
        <f>M24+M25</f>
        <v>0</v>
      </c>
      <c r="N23" s="43">
        <f>N24+N25</f>
        <v>8843913.1300000008</v>
      </c>
      <c r="O23" s="37">
        <f t="shared" si="8"/>
        <v>9173279.3300000001</v>
      </c>
      <c r="P23" s="43">
        <f>P24+P25</f>
        <v>0</v>
      </c>
      <c r="Q23" s="43">
        <f>Q24+Q25</f>
        <v>9173279.3300000001</v>
      </c>
    </row>
    <row r="24" spans="1:19" x14ac:dyDescent="0.25">
      <c r="A24" s="96" t="s">
        <v>151</v>
      </c>
      <c r="B24" s="97" t="s">
        <v>397</v>
      </c>
      <c r="C24" s="98" t="s">
        <v>142</v>
      </c>
      <c r="D24" s="98" t="s">
        <v>144</v>
      </c>
      <c r="E24" s="98" t="s">
        <v>150</v>
      </c>
      <c r="F24" s="98" t="s">
        <v>152</v>
      </c>
      <c r="G24" s="38">
        <v>8438112.1999999993</v>
      </c>
      <c r="H24" s="38">
        <v>0</v>
      </c>
      <c r="I24" s="103">
        <f>G24+H24</f>
        <v>8438112.1999999993</v>
      </c>
      <c r="J24" s="38">
        <f>'По разделам 4'!I12</f>
        <v>350616</v>
      </c>
      <c r="K24" s="103">
        <f>I24+J24</f>
        <v>8788728.1999999993</v>
      </c>
      <c r="L24" s="38">
        <v>8783913.1300000008</v>
      </c>
      <c r="M24" s="38">
        <v>0</v>
      </c>
      <c r="N24" s="103">
        <f>L24+M24</f>
        <v>8783913.1300000008</v>
      </c>
      <c r="O24" s="39">
        <v>9113279.3300000001</v>
      </c>
      <c r="P24" s="38">
        <v>0</v>
      </c>
      <c r="Q24" s="103">
        <f>O24+P24</f>
        <v>9113279.3300000001</v>
      </c>
    </row>
    <row r="25" spans="1:19" ht="30" x14ac:dyDescent="0.25">
      <c r="A25" s="96" t="s">
        <v>153</v>
      </c>
      <c r="B25" s="97" t="s">
        <v>397</v>
      </c>
      <c r="C25" s="98" t="s">
        <v>142</v>
      </c>
      <c r="D25" s="98" t="s">
        <v>144</v>
      </c>
      <c r="E25" s="98" t="s">
        <v>150</v>
      </c>
      <c r="F25" s="98">
        <v>200</v>
      </c>
      <c r="G25" s="40">
        <v>60000</v>
      </c>
      <c r="H25" s="40">
        <v>0</v>
      </c>
      <c r="I25" s="103">
        <f>G25+H25</f>
        <v>60000</v>
      </c>
      <c r="J25" s="38">
        <f>'По разделам 4'!I13</f>
        <v>150000</v>
      </c>
      <c r="K25" s="103">
        <f>I25+J25</f>
        <v>210000</v>
      </c>
      <c r="L25" s="40">
        <v>60000</v>
      </c>
      <c r="M25" s="40">
        <v>0</v>
      </c>
      <c r="N25" s="103">
        <f>L25+M25</f>
        <v>60000</v>
      </c>
      <c r="O25" s="41">
        <v>60000</v>
      </c>
      <c r="P25" s="40">
        <v>0</v>
      </c>
      <c r="Q25" s="103">
        <f>O25+P25</f>
        <v>60000</v>
      </c>
    </row>
    <row r="26" spans="1:19" ht="38.25" x14ac:dyDescent="0.25">
      <c r="A26" s="30" t="s">
        <v>161</v>
      </c>
      <c r="B26" s="31" t="s">
        <v>397</v>
      </c>
      <c r="C26" s="32" t="s">
        <v>142</v>
      </c>
      <c r="D26" s="32" t="s">
        <v>162</v>
      </c>
      <c r="E26" s="32" t="s">
        <v>0</v>
      </c>
      <c r="F26" s="32" t="s">
        <v>0</v>
      </c>
      <c r="G26" s="42">
        <f t="shared" ref="G26:Q26" si="9">G27+G32</f>
        <v>163197691.54000002</v>
      </c>
      <c r="H26" s="42">
        <f t="shared" si="9"/>
        <v>239123.97999999998</v>
      </c>
      <c r="I26" s="42">
        <f t="shared" si="9"/>
        <v>163436815.52000001</v>
      </c>
      <c r="J26" s="42">
        <f t="shared" si="9"/>
        <v>1328185.78</v>
      </c>
      <c r="K26" s="42">
        <f t="shared" si="9"/>
        <v>164765001.30000001</v>
      </c>
      <c r="L26" s="42">
        <f t="shared" si="9"/>
        <v>167819599.41000003</v>
      </c>
      <c r="M26" s="42">
        <f t="shared" si="9"/>
        <v>0</v>
      </c>
      <c r="N26" s="42">
        <f t="shared" si="9"/>
        <v>167819599.41000003</v>
      </c>
      <c r="O26" s="42">
        <f t="shared" si="9"/>
        <v>173323700.08000001</v>
      </c>
      <c r="P26" s="42">
        <f t="shared" si="9"/>
        <v>0</v>
      </c>
      <c r="Q26" s="42">
        <f t="shared" si="9"/>
        <v>173323700.08000001</v>
      </c>
    </row>
    <row r="27" spans="1:19" x14ac:dyDescent="0.25">
      <c r="A27" s="30" t="s">
        <v>163</v>
      </c>
      <c r="B27" s="31" t="s">
        <v>397</v>
      </c>
      <c r="C27" s="32" t="s">
        <v>142</v>
      </c>
      <c r="D27" s="32" t="s">
        <v>162</v>
      </c>
      <c r="E27" s="123" t="s">
        <v>164</v>
      </c>
      <c r="F27" s="32" t="s">
        <v>0</v>
      </c>
      <c r="G27" s="42">
        <f t="shared" ref="G27:Q28" si="10">G28</f>
        <v>925373</v>
      </c>
      <c r="H27" s="42">
        <f t="shared" si="10"/>
        <v>0</v>
      </c>
      <c r="I27" s="42">
        <f t="shared" si="10"/>
        <v>925373</v>
      </c>
      <c r="J27" s="42">
        <f t="shared" si="10"/>
        <v>0</v>
      </c>
      <c r="K27" s="42">
        <f t="shared" si="10"/>
        <v>925373</v>
      </c>
      <c r="L27" s="42">
        <f t="shared" si="10"/>
        <v>925373</v>
      </c>
      <c r="M27" s="42">
        <f t="shared" si="10"/>
        <v>0</v>
      </c>
      <c r="N27" s="42">
        <f t="shared" si="10"/>
        <v>925373</v>
      </c>
      <c r="O27" s="42">
        <f t="shared" si="10"/>
        <v>925373</v>
      </c>
      <c r="P27" s="42">
        <f t="shared" si="10"/>
        <v>0</v>
      </c>
      <c r="Q27" s="42">
        <f t="shared" si="10"/>
        <v>925373</v>
      </c>
    </row>
    <row r="28" spans="1:19" x14ac:dyDescent="0.25">
      <c r="A28" s="30" t="s">
        <v>165</v>
      </c>
      <c r="B28" s="31" t="s">
        <v>397</v>
      </c>
      <c r="C28" s="32" t="s">
        <v>142</v>
      </c>
      <c r="D28" s="32" t="s">
        <v>162</v>
      </c>
      <c r="E28" s="123" t="s">
        <v>166</v>
      </c>
      <c r="F28" s="32" t="s">
        <v>0</v>
      </c>
      <c r="G28" s="42">
        <f t="shared" si="10"/>
        <v>925373</v>
      </c>
      <c r="H28" s="42">
        <f t="shared" si="10"/>
        <v>0</v>
      </c>
      <c r="I28" s="42">
        <f t="shared" si="10"/>
        <v>925373</v>
      </c>
      <c r="J28" s="42">
        <f t="shared" si="10"/>
        <v>0</v>
      </c>
      <c r="K28" s="42">
        <f t="shared" si="10"/>
        <v>925373</v>
      </c>
      <c r="L28" s="42">
        <f t="shared" si="10"/>
        <v>925373</v>
      </c>
      <c r="M28" s="42">
        <f t="shared" si="10"/>
        <v>0</v>
      </c>
      <c r="N28" s="42">
        <f t="shared" si="10"/>
        <v>925373</v>
      </c>
      <c r="O28" s="42">
        <f t="shared" si="10"/>
        <v>925373</v>
      </c>
      <c r="P28" s="42">
        <f t="shared" si="10"/>
        <v>0</v>
      </c>
      <c r="Q28" s="42">
        <f t="shared" si="10"/>
        <v>925373</v>
      </c>
    </row>
    <row r="29" spans="1:19" x14ac:dyDescent="0.25">
      <c r="A29" s="34" t="s">
        <v>167</v>
      </c>
      <c r="B29" s="35" t="s">
        <v>397</v>
      </c>
      <c r="C29" s="36" t="s">
        <v>142</v>
      </c>
      <c r="D29" s="36" t="s">
        <v>162</v>
      </c>
      <c r="E29" s="36" t="s">
        <v>168</v>
      </c>
      <c r="F29" s="36" t="s">
        <v>0</v>
      </c>
      <c r="G29" s="43">
        <f t="shared" ref="G29:Q29" si="11">G30+G31</f>
        <v>925373</v>
      </c>
      <c r="H29" s="43">
        <f t="shared" si="11"/>
        <v>0</v>
      </c>
      <c r="I29" s="43">
        <f t="shared" si="11"/>
        <v>925373</v>
      </c>
      <c r="J29" s="43">
        <f t="shared" si="11"/>
        <v>0</v>
      </c>
      <c r="K29" s="43">
        <f t="shared" si="11"/>
        <v>925373</v>
      </c>
      <c r="L29" s="43">
        <f t="shared" si="11"/>
        <v>925373</v>
      </c>
      <c r="M29" s="43">
        <f t="shared" si="11"/>
        <v>0</v>
      </c>
      <c r="N29" s="43">
        <f t="shared" si="11"/>
        <v>925373</v>
      </c>
      <c r="O29" s="43">
        <f t="shared" si="11"/>
        <v>925373</v>
      </c>
      <c r="P29" s="43">
        <f t="shared" si="11"/>
        <v>0</v>
      </c>
      <c r="Q29" s="43">
        <f t="shared" si="11"/>
        <v>925373</v>
      </c>
    </row>
    <row r="30" spans="1:19" x14ac:dyDescent="0.25">
      <c r="A30" s="96" t="s">
        <v>151</v>
      </c>
      <c r="B30" s="97" t="s">
        <v>397</v>
      </c>
      <c r="C30" s="98" t="s">
        <v>142</v>
      </c>
      <c r="D30" s="98" t="s">
        <v>162</v>
      </c>
      <c r="E30" s="124" t="s">
        <v>168</v>
      </c>
      <c r="F30" s="98" t="s">
        <v>152</v>
      </c>
      <c r="G30" s="103">
        <v>299531</v>
      </c>
      <c r="H30" s="103">
        <v>0</v>
      </c>
      <c r="I30" s="103">
        <f>G30+H30</f>
        <v>299531</v>
      </c>
      <c r="J30" s="103">
        <v>0</v>
      </c>
      <c r="K30" s="103">
        <f>I30+J30</f>
        <v>299531</v>
      </c>
      <c r="L30" s="103">
        <v>299531</v>
      </c>
      <c r="M30" s="103">
        <v>0</v>
      </c>
      <c r="N30" s="103">
        <f>L30+M30</f>
        <v>299531</v>
      </c>
      <c r="O30" s="103">
        <v>299531</v>
      </c>
      <c r="P30" s="103">
        <v>0</v>
      </c>
      <c r="Q30" s="103">
        <f>O30+P30</f>
        <v>299531</v>
      </c>
    </row>
    <row r="31" spans="1:19" ht="30" x14ac:dyDescent="0.25">
      <c r="A31" s="96" t="s">
        <v>153</v>
      </c>
      <c r="B31" s="97" t="s">
        <v>397</v>
      </c>
      <c r="C31" s="98" t="s">
        <v>142</v>
      </c>
      <c r="D31" s="98" t="s">
        <v>162</v>
      </c>
      <c r="E31" s="98" t="s">
        <v>168</v>
      </c>
      <c r="F31" s="98" t="s">
        <v>158</v>
      </c>
      <c r="G31" s="40">
        <v>625842</v>
      </c>
      <c r="H31" s="40">
        <v>0</v>
      </c>
      <c r="I31" s="103">
        <f>G31+H31</f>
        <v>625842</v>
      </c>
      <c r="J31" s="40">
        <v>0</v>
      </c>
      <c r="K31" s="103">
        <f>I31+J31</f>
        <v>625842</v>
      </c>
      <c r="L31" s="40">
        <v>625842</v>
      </c>
      <c r="M31" s="40">
        <v>0</v>
      </c>
      <c r="N31" s="103">
        <f>L31+M31</f>
        <v>625842</v>
      </c>
      <c r="O31" s="92">
        <v>625842</v>
      </c>
      <c r="P31" s="40">
        <v>0</v>
      </c>
      <c r="Q31" s="103">
        <f>O31+P31</f>
        <v>625842</v>
      </c>
    </row>
    <row r="32" spans="1:19" x14ac:dyDescent="0.25">
      <c r="A32" s="30" t="s">
        <v>145</v>
      </c>
      <c r="B32" s="31" t="s">
        <v>397</v>
      </c>
      <c r="C32" s="32" t="s">
        <v>142</v>
      </c>
      <c r="D32" s="32" t="s">
        <v>162</v>
      </c>
      <c r="E32" s="32" t="s">
        <v>146</v>
      </c>
      <c r="F32" s="32" t="s">
        <v>0</v>
      </c>
      <c r="G32" s="42">
        <f t="shared" ref="G32:Q33" si="12">G33</f>
        <v>162272318.54000002</v>
      </c>
      <c r="H32" s="42">
        <f t="shared" si="12"/>
        <v>239123.97999999998</v>
      </c>
      <c r="I32" s="42">
        <f t="shared" si="12"/>
        <v>162511442.52000001</v>
      </c>
      <c r="J32" s="42">
        <f t="shared" si="12"/>
        <v>1328185.78</v>
      </c>
      <c r="K32" s="42">
        <f t="shared" si="12"/>
        <v>163839628.30000001</v>
      </c>
      <c r="L32" s="42">
        <f t="shared" si="12"/>
        <v>166894226.41000003</v>
      </c>
      <c r="M32" s="42">
        <f t="shared" si="12"/>
        <v>0</v>
      </c>
      <c r="N32" s="42">
        <f t="shared" si="12"/>
        <v>166894226.41000003</v>
      </c>
      <c r="O32" s="42">
        <f t="shared" si="12"/>
        <v>172398327.08000001</v>
      </c>
      <c r="P32" s="42">
        <f t="shared" si="12"/>
        <v>0</v>
      </c>
      <c r="Q32" s="42">
        <f t="shared" si="12"/>
        <v>172398327.08000001</v>
      </c>
    </row>
    <row r="33" spans="1:17" ht="25.5" x14ac:dyDescent="0.25">
      <c r="A33" s="30" t="s">
        <v>147</v>
      </c>
      <c r="B33" s="31" t="s">
        <v>397</v>
      </c>
      <c r="C33" s="32" t="s">
        <v>142</v>
      </c>
      <c r="D33" s="32" t="s">
        <v>162</v>
      </c>
      <c r="E33" s="32" t="s">
        <v>148</v>
      </c>
      <c r="F33" s="32" t="s">
        <v>0</v>
      </c>
      <c r="G33" s="42">
        <f t="shared" si="12"/>
        <v>162272318.54000002</v>
      </c>
      <c r="H33" s="42">
        <f t="shared" si="12"/>
        <v>239123.97999999998</v>
      </c>
      <c r="I33" s="42">
        <f t="shared" si="12"/>
        <v>162511442.52000001</v>
      </c>
      <c r="J33" s="42">
        <f t="shared" si="12"/>
        <v>1328185.78</v>
      </c>
      <c r="K33" s="42">
        <f t="shared" si="12"/>
        <v>163839628.30000001</v>
      </c>
      <c r="L33" s="42">
        <f t="shared" si="12"/>
        <v>166894226.41000003</v>
      </c>
      <c r="M33" s="42">
        <f t="shared" si="12"/>
        <v>0</v>
      </c>
      <c r="N33" s="42">
        <f t="shared" si="12"/>
        <v>166894226.41000003</v>
      </c>
      <c r="O33" s="42">
        <f t="shared" si="12"/>
        <v>172398327.08000001</v>
      </c>
      <c r="P33" s="42">
        <f t="shared" si="12"/>
        <v>0</v>
      </c>
      <c r="Q33" s="42">
        <f t="shared" si="12"/>
        <v>172398327.08000001</v>
      </c>
    </row>
    <row r="34" spans="1:17" x14ac:dyDescent="0.25">
      <c r="A34" s="34" t="s">
        <v>156</v>
      </c>
      <c r="B34" s="35" t="s">
        <v>397</v>
      </c>
      <c r="C34" s="36" t="s">
        <v>142</v>
      </c>
      <c r="D34" s="36" t="s">
        <v>162</v>
      </c>
      <c r="E34" s="36" t="s">
        <v>157</v>
      </c>
      <c r="F34" s="36" t="s">
        <v>0</v>
      </c>
      <c r="G34" s="43">
        <f t="shared" ref="G34:Q34" si="13">G35+G36+G37+G38</f>
        <v>162272318.54000002</v>
      </c>
      <c r="H34" s="43">
        <f t="shared" si="13"/>
        <v>239123.97999999998</v>
      </c>
      <c r="I34" s="43">
        <f t="shared" si="13"/>
        <v>162511442.52000001</v>
      </c>
      <c r="J34" s="43">
        <f t="shared" si="13"/>
        <v>1328185.78</v>
      </c>
      <c r="K34" s="43">
        <f t="shared" si="13"/>
        <v>163839628.30000001</v>
      </c>
      <c r="L34" s="43">
        <f t="shared" si="13"/>
        <v>166894226.41000003</v>
      </c>
      <c r="M34" s="43">
        <f t="shared" si="13"/>
        <v>0</v>
      </c>
      <c r="N34" s="43">
        <f t="shared" si="13"/>
        <v>166894226.41000003</v>
      </c>
      <c r="O34" s="43">
        <f t="shared" si="13"/>
        <v>172398327.08000001</v>
      </c>
      <c r="P34" s="43">
        <f t="shared" si="13"/>
        <v>0</v>
      </c>
      <c r="Q34" s="43">
        <f t="shared" si="13"/>
        <v>172398327.08000001</v>
      </c>
    </row>
    <row r="35" spans="1:17" x14ac:dyDescent="0.25">
      <c r="A35" s="96" t="s">
        <v>151</v>
      </c>
      <c r="B35" s="97" t="s">
        <v>397</v>
      </c>
      <c r="C35" s="98" t="s">
        <v>142</v>
      </c>
      <c r="D35" s="98" t="s">
        <v>162</v>
      </c>
      <c r="E35" s="98" t="s">
        <v>157</v>
      </c>
      <c r="F35" s="98" t="s">
        <v>152</v>
      </c>
      <c r="G35" s="108">
        <v>139999582.65000001</v>
      </c>
      <c r="H35" s="103">
        <v>0</v>
      </c>
      <c r="I35" s="103">
        <f>G35+H35</f>
        <v>139999582.65000001</v>
      </c>
      <c r="J35" s="103">
        <f>'По разделам 4'!I32</f>
        <v>2239060.12</v>
      </c>
      <c r="K35" s="103">
        <f>I35+J35</f>
        <v>142238642.77000001</v>
      </c>
      <c r="L35" s="103">
        <v>144456317.30000001</v>
      </c>
      <c r="M35" s="103">
        <v>0</v>
      </c>
      <c r="N35" s="103">
        <f>L35+M35</f>
        <v>144456317.30000001</v>
      </c>
      <c r="O35" s="103">
        <v>149582382.71000001</v>
      </c>
      <c r="P35" s="103">
        <v>0</v>
      </c>
      <c r="Q35" s="103">
        <f>O35+P35</f>
        <v>149582382.71000001</v>
      </c>
    </row>
    <row r="36" spans="1:17" ht="30" x14ac:dyDescent="0.25">
      <c r="A36" s="96" t="s">
        <v>153</v>
      </c>
      <c r="B36" s="97" t="s">
        <v>397</v>
      </c>
      <c r="C36" s="98" t="s">
        <v>142</v>
      </c>
      <c r="D36" s="98" t="s">
        <v>162</v>
      </c>
      <c r="E36" s="98" t="s">
        <v>399</v>
      </c>
      <c r="F36" s="126" t="s">
        <v>158</v>
      </c>
      <c r="G36" s="102">
        <v>21517636.890000001</v>
      </c>
      <c r="H36" s="101">
        <v>239123.97999999998</v>
      </c>
      <c r="I36" s="103">
        <f>G36+H36</f>
        <v>21756760.870000001</v>
      </c>
      <c r="J36" s="103">
        <f>'По разделам 4'!I33</f>
        <v>-910874.34000000008</v>
      </c>
      <c r="K36" s="103">
        <f>I36+J36</f>
        <v>20845886.530000001</v>
      </c>
      <c r="L36" s="103">
        <v>21771915.109999999</v>
      </c>
      <c r="M36" s="101">
        <v>0</v>
      </c>
      <c r="N36" s="103">
        <f>L36+M36</f>
        <v>21771915.109999999</v>
      </c>
      <c r="O36" s="103">
        <v>22202978.370000001</v>
      </c>
      <c r="P36" s="101">
        <v>0</v>
      </c>
      <c r="Q36" s="103">
        <f>O36+P36</f>
        <v>22202978.370000001</v>
      </c>
    </row>
    <row r="37" spans="1:17" hidden="1" outlineLevel="1" x14ac:dyDescent="0.25">
      <c r="A37" s="96" t="s">
        <v>169</v>
      </c>
      <c r="B37" s="97" t="s">
        <v>397</v>
      </c>
      <c r="C37" s="98" t="s">
        <v>142</v>
      </c>
      <c r="D37" s="98" t="s">
        <v>162</v>
      </c>
      <c r="E37" s="98" t="s">
        <v>170</v>
      </c>
      <c r="F37" s="98" t="s">
        <v>171</v>
      </c>
      <c r="G37" s="107">
        <v>0</v>
      </c>
      <c r="H37" s="103">
        <v>0</v>
      </c>
      <c r="I37" s="103">
        <v>0</v>
      </c>
      <c r="J37" s="103">
        <f>'По разделам 4'!I34</f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</row>
    <row r="38" spans="1:17" collapsed="1" x14ac:dyDescent="0.25">
      <c r="A38" s="96" t="s">
        <v>172</v>
      </c>
      <c r="B38" s="97" t="s">
        <v>397</v>
      </c>
      <c r="C38" s="98" t="s">
        <v>142</v>
      </c>
      <c r="D38" s="98" t="s">
        <v>162</v>
      </c>
      <c r="E38" s="98" t="s">
        <v>157</v>
      </c>
      <c r="F38" s="98" t="s">
        <v>173</v>
      </c>
      <c r="G38" s="103">
        <v>755099</v>
      </c>
      <c r="H38" s="103">
        <v>0</v>
      </c>
      <c r="I38" s="103">
        <f>G38+H38</f>
        <v>755099</v>
      </c>
      <c r="J38" s="103">
        <f>'По разделам 4'!I35</f>
        <v>0</v>
      </c>
      <c r="K38" s="103">
        <f>I38+J38</f>
        <v>755099</v>
      </c>
      <c r="L38" s="103">
        <v>665994</v>
      </c>
      <c r="M38" s="103">
        <v>0</v>
      </c>
      <c r="N38" s="103">
        <f>L38+M38</f>
        <v>665994</v>
      </c>
      <c r="O38" s="103">
        <v>612966</v>
      </c>
      <c r="P38" s="103">
        <v>0</v>
      </c>
      <c r="Q38" s="103">
        <f>O38+P38</f>
        <v>612966</v>
      </c>
    </row>
    <row r="39" spans="1:17" x14ac:dyDescent="0.25">
      <c r="A39" s="30" t="s">
        <v>178</v>
      </c>
      <c r="B39" s="31" t="s">
        <v>397</v>
      </c>
      <c r="C39" s="32" t="s">
        <v>142</v>
      </c>
      <c r="D39" s="32" t="s">
        <v>179</v>
      </c>
      <c r="E39" s="32" t="s">
        <v>0</v>
      </c>
      <c r="F39" s="32" t="s">
        <v>0</v>
      </c>
      <c r="G39" s="42">
        <f t="shared" ref="G39:Q40" si="14">G40</f>
        <v>2798205.94</v>
      </c>
      <c r="H39" s="42">
        <f t="shared" si="14"/>
        <v>2085345.9</v>
      </c>
      <c r="I39" s="42">
        <f t="shared" si="14"/>
        <v>4883551.84</v>
      </c>
      <c r="J39" s="42">
        <f t="shared" si="14"/>
        <v>2594756.83</v>
      </c>
      <c r="K39" s="42">
        <f t="shared" si="14"/>
        <v>7478308.6699999999</v>
      </c>
      <c r="L39" s="42">
        <f t="shared" si="14"/>
        <v>2500000</v>
      </c>
      <c r="M39" s="42">
        <f t="shared" si="14"/>
        <v>0</v>
      </c>
      <c r="N39" s="42">
        <f t="shared" si="14"/>
        <v>2500000</v>
      </c>
      <c r="O39" s="42">
        <f t="shared" si="14"/>
        <v>2500000</v>
      </c>
      <c r="P39" s="42">
        <f t="shared" si="14"/>
        <v>0</v>
      </c>
      <c r="Q39" s="42">
        <f t="shared" si="14"/>
        <v>2500000</v>
      </c>
    </row>
    <row r="40" spans="1:17" x14ac:dyDescent="0.25">
      <c r="A40" s="30" t="s">
        <v>145</v>
      </c>
      <c r="B40" s="31" t="s">
        <v>397</v>
      </c>
      <c r="C40" s="32" t="s">
        <v>142</v>
      </c>
      <c r="D40" s="32" t="s">
        <v>179</v>
      </c>
      <c r="E40" s="32" t="s">
        <v>146</v>
      </c>
      <c r="F40" s="32" t="s">
        <v>0</v>
      </c>
      <c r="G40" s="42">
        <f t="shared" si="14"/>
        <v>2798205.94</v>
      </c>
      <c r="H40" s="42">
        <f t="shared" si="14"/>
        <v>2085345.9</v>
      </c>
      <c r="I40" s="42">
        <f t="shared" si="14"/>
        <v>4883551.84</v>
      </c>
      <c r="J40" s="42">
        <f t="shared" si="14"/>
        <v>2594756.83</v>
      </c>
      <c r="K40" s="42">
        <f t="shared" si="14"/>
        <v>7478308.6699999999</v>
      </c>
      <c r="L40" s="42">
        <f t="shared" si="14"/>
        <v>2500000</v>
      </c>
      <c r="M40" s="42">
        <f t="shared" si="14"/>
        <v>0</v>
      </c>
      <c r="N40" s="42">
        <f t="shared" si="14"/>
        <v>2500000</v>
      </c>
      <c r="O40" s="42">
        <f t="shared" si="14"/>
        <v>2500000</v>
      </c>
      <c r="P40" s="42">
        <f t="shared" si="14"/>
        <v>0</v>
      </c>
      <c r="Q40" s="42">
        <f t="shared" si="14"/>
        <v>2500000</v>
      </c>
    </row>
    <row r="41" spans="1:17" x14ac:dyDescent="0.25">
      <c r="A41" s="30" t="s">
        <v>180</v>
      </c>
      <c r="B41" s="31" t="s">
        <v>397</v>
      </c>
      <c r="C41" s="32" t="s">
        <v>142</v>
      </c>
      <c r="D41" s="32" t="s">
        <v>179</v>
      </c>
      <c r="E41" s="32" t="s">
        <v>181</v>
      </c>
      <c r="F41" s="32" t="s">
        <v>0</v>
      </c>
      <c r="G41" s="42">
        <f t="shared" ref="G41:Q41" si="15">G42+G44</f>
        <v>2798205.94</v>
      </c>
      <c r="H41" s="42">
        <f t="shared" si="15"/>
        <v>2085345.9</v>
      </c>
      <c r="I41" s="42">
        <f t="shared" si="15"/>
        <v>4883551.84</v>
      </c>
      <c r="J41" s="42">
        <f t="shared" si="15"/>
        <v>2594756.83</v>
      </c>
      <c r="K41" s="42">
        <f t="shared" si="15"/>
        <v>7478308.6699999999</v>
      </c>
      <c r="L41" s="42">
        <f t="shared" si="15"/>
        <v>2500000</v>
      </c>
      <c r="M41" s="42">
        <f t="shared" si="15"/>
        <v>0</v>
      </c>
      <c r="N41" s="42">
        <f t="shared" si="15"/>
        <v>2500000</v>
      </c>
      <c r="O41" s="42">
        <f t="shared" si="15"/>
        <v>2500000</v>
      </c>
      <c r="P41" s="42">
        <f t="shared" si="15"/>
        <v>0</v>
      </c>
      <c r="Q41" s="42">
        <f t="shared" si="15"/>
        <v>2500000</v>
      </c>
    </row>
    <row r="42" spans="1:17" x14ac:dyDescent="0.25">
      <c r="A42" s="34" t="s">
        <v>182</v>
      </c>
      <c r="B42" s="35" t="s">
        <v>397</v>
      </c>
      <c r="C42" s="36" t="s">
        <v>142</v>
      </c>
      <c r="D42" s="36" t="s">
        <v>179</v>
      </c>
      <c r="E42" s="36" t="s">
        <v>183</v>
      </c>
      <c r="F42" s="36" t="s">
        <v>0</v>
      </c>
      <c r="G42" s="43">
        <f t="shared" ref="G42:Q42" si="16">G43</f>
        <v>1298205.94</v>
      </c>
      <c r="H42" s="43">
        <f t="shared" si="16"/>
        <v>2085345.9</v>
      </c>
      <c r="I42" s="43">
        <f t="shared" si="16"/>
        <v>3383551.84</v>
      </c>
      <c r="J42" s="43">
        <f t="shared" si="16"/>
        <v>2594756.83</v>
      </c>
      <c r="K42" s="43">
        <f t="shared" si="16"/>
        <v>5978308.6699999999</v>
      </c>
      <c r="L42" s="43">
        <f t="shared" si="16"/>
        <v>1000000</v>
      </c>
      <c r="M42" s="43">
        <f t="shared" si="16"/>
        <v>0</v>
      </c>
      <c r="N42" s="43">
        <f t="shared" si="16"/>
        <v>1000000</v>
      </c>
      <c r="O42" s="43">
        <f t="shared" si="16"/>
        <v>1000000</v>
      </c>
      <c r="P42" s="43">
        <f t="shared" si="16"/>
        <v>0</v>
      </c>
      <c r="Q42" s="43">
        <f t="shared" si="16"/>
        <v>1000000</v>
      </c>
    </row>
    <row r="43" spans="1:17" x14ac:dyDescent="0.25">
      <c r="A43" s="96" t="s">
        <v>172</v>
      </c>
      <c r="B43" s="97" t="s">
        <v>397</v>
      </c>
      <c r="C43" s="98" t="s">
        <v>142</v>
      </c>
      <c r="D43" s="98" t="s">
        <v>179</v>
      </c>
      <c r="E43" s="98" t="s">
        <v>183</v>
      </c>
      <c r="F43" s="98" t="s">
        <v>173</v>
      </c>
      <c r="G43" s="44">
        <f>2500000-1276847+75052.94</f>
        <v>1298205.94</v>
      </c>
      <c r="H43" s="44">
        <v>2085345.9</v>
      </c>
      <c r="I43" s="103">
        <f>G43+H43</f>
        <v>3383551.84</v>
      </c>
      <c r="J43" s="44">
        <f>'По разделам 4'!I47</f>
        <v>2594756.83</v>
      </c>
      <c r="K43" s="103">
        <f>I43+J43</f>
        <v>5978308.6699999999</v>
      </c>
      <c r="L43" s="44">
        <v>1000000</v>
      </c>
      <c r="M43" s="44">
        <v>0</v>
      </c>
      <c r="N43" s="103">
        <f>L43+M43</f>
        <v>1000000</v>
      </c>
      <c r="O43" s="44">
        <v>1000000</v>
      </c>
      <c r="P43" s="44">
        <v>0</v>
      </c>
      <c r="Q43" s="103">
        <f>O43+P43</f>
        <v>1000000</v>
      </c>
    </row>
    <row r="44" spans="1:17" ht="27" x14ac:dyDescent="0.25">
      <c r="A44" s="34" t="s">
        <v>184</v>
      </c>
      <c r="B44" s="35" t="s">
        <v>397</v>
      </c>
      <c r="C44" s="36" t="s">
        <v>142</v>
      </c>
      <c r="D44" s="36" t="s">
        <v>179</v>
      </c>
      <c r="E44" s="36" t="s">
        <v>185</v>
      </c>
      <c r="F44" s="36" t="s">
        <v>0</v>
      </c>
      <c r="G44" s="43">
        <f t="shared" ref="G44:Q44" si="17">G45</f>
        <v>1500000</v>
      </c>
      <c r="H44" s="43">
        <f t="shared" si="17"/>
        <v>0</v>
      </c>
      <c r="I44" s="43">
        <f t="shared" si="17"/>
        <v>1500000</v>
      </c>
      <c r="J44" s="43">
        <f t="shared" si="17"/>
        <v>0</v>
      </c>
      <c r="K44" s="43">
        <f t="shared" si="17"/>
        <v>1500000</v>
      </c>
      <c r="L44" s="43">
        <f t="shared" si="17"/>
        <v>1500000</v>
      </c>
      <c r="M44" s="43">
        <f t="shared" si="17"/>
        <v>0</v>
      </c>
      <c r="N44" s="43">
        <f t="shared" si="17"/>
        <v>1500000</v>
      </c>
      <c r="O44" s="43">
        <f t="shared" si="17"/>
        <v>1500000</v>
      </c>
      <c r="P44" s="43">
        <f t="shared" si="17"/>
        <v>0</v>
      </c>
      <c r="Q44" s="43">
        <f t="shared" si="17"/>
        <v>1500000</v>
      </c>
    </row>
    <row r="45" spans="1:17" x14ac:dyDescent="0.25">
      <c r="A45" s="96" t="s">
        <v>172</v>
      </c>
      <c r="B45" s="97" t="s">
        <v>397</v>
      </c>
      <c r="C45" s="98" t="s">
        <v>142</v>
      </c>
      <c r="D45" s="98" t="s">
        <v>179</v>
      </c>
      <c r="E45" s="98" t="s">
        <v>185</v>
      </c>
      <c r="F45" s="98" t="s">
        <v>173</v>
      </c>
      <c r="G45" s="103">
        <v>1500000</v>
      </c>
      <c r="H45" s="103">
        <v>0</v>
      </c>
      <c r="I45" s="103">
        <f>G45+H45</f>
        <v>1500000</v>
      </c>
      <c r="J45" s="103">
        <v>0</v>
      </c>
      <c r="K45" s="103">
        <f>I45+J45</f>
        <v>1500000</v>
      </c>
      <c r="L45" s="103">
        <v>1500000</v>
      </c>
      <c r="M45" s="103">
        <v>0</v>
      </c>
      <c r="N45" s="103">
        <f>L45+M45</f>
        <v>1500000</v>
      </c>
      <c r="O45" s="103">
        <v>1500000</v>
      </c>
      <c r="P45" s="103">
        <v>0</v>
      </c>
      <c r="Q45" s="103">
        <f>O45+P45</f>
        <v>1500000</v>
      </c>
    </row>
    <row r="46" spans="1:17" x14ac:dyDescent="0.25">
      <c r="A46" s="30" t="s">
        <v>186</v>
      </c>
      <c r="B46" s="31" t="s">
        <v>397</v>
      </c>
      <c r="C46" s="32" t="s">
        <v>142</v>
      </c>
      <c r="D46" s="32" t="s">
        <v>187</v>
      </c>
      <c r="E46" s="32" t="s">
        <v>0</v>
      </c>
      <c r="F46" s="32" t="s">
        <v>0</v>
      </c>
      <c r="G46" s="42">
        <f t="shared" ref="G46:Q46" si="18">G47+G60</f>
        <v>18804318.090000004</v>
      </c>
      <c r="H46" s="42">
        <f t="shared" si="18"/>
        <v>2073474.96</v>
      </c>
      <c r="I46" s="42">
        <f t="shared" si="18"/>
        <v>20877793.050000001</v>
      </c>
      <c r="J46" s="42">
        <f t="shared" si="18"/>
        <v>227886.98</v>
      </c>
      <c r="K46" s="42">
        <f t="shared" si="18"/>
        <v>21105680.030000001</v>
      </c>
      <c r="L46" s="42">
        <f t="shared" si="18"/>
        <v>24538870.109999999</v>
      </c>
      <c r="M46" s="42">
        <f t="shared" si="18"/>
        <v>0</v>
      </c>
      <c r="N46" s="42">
        <f t="shared" si="18"/>
        <v>24538870.109999999</v>
      </c>
      <c r="O46" s="42">
        <f t="shared" si="18"/>
        <v>39038094.390000001</v>
      </c>
      <c r="P46" s="42">
        <f t="shared" si="18"/>
        <v>0</v>
      </c>
      <c r="Q46" s="42">
        <f t="shared" si="18"/>
        <v>39038094.390000001</v>
      </c>
    </row>
    <row r="47" spans="1:17" x14ac:dyDescent="0.25">
      <c r="A47" s="30" t="s">
        <v>188</v>
      </c>
      <c r="B47" s="31" t="s">
        <v>397</v>
      </c>
      <c r="C47" s="32" t="s">
        <v>142</v>
      </c>
      <c r="D47" s="32" t="s">
        <v>187</v>
      </c>
      <c r="E47" s="32" t="s">
        <v>189</v>
      </c>
      <c r="F47" s="32" t="s">
        <v>0</v>
      </c>
      <c r="G47" s="42">
        <f>G48</f>
        <v>8162499.2200000007</v>
      </c>
      <c r="H47" s="42">
        <f>H48</f>
        <v>2018629.31</v>
      </c>
      <c r="I47" s="42">
        <f>I48</f>
        <v>10181128.530000001</v>
      </c>
      <c r="J47" s="42">
        <f>J48</f>
        <v>0</v>
      </c>
      <c r="K47" s="42">
        <f>K48</f>
        <v>10181128.530000001</v>
      </c>
      <c r="L47" s="42">
        <f t="shared" ref="L47:O47" si="19">L48</f>
        <v>7391767.8899999997</v>
      </c>
      <c r="M47" s="42">
        <f>M48</f>
        <v>0</v>
      </c>
      <c r="N47" s="42">
        <f>N48</f>
        <v>7391767.8899999997</v>
      </c>
      <c r="O47" s="42">
        <f t="shared" si="19"/>
        <v>7687438.5999999996</v>
      </c>
      <c r="P47" s="42">
        <f>P48</f>
        <v>0</v>
      </c>
      <c r="Q47" s="42">
        <f>Q48</f>
        <v>7687438.5999999996</v>
      </c>
    </row>
    <row r="48" spans="1:17" x14ac:dyDescent="0.25">
      <c r="A48" s="30" t="s">
        <v>165</v>
      </c>
      <c r="B48" s="31" t="s">
        <v>397</v>
      </c>
      <c r="C48" s="32" t="s">
        <v>142</v>
      </c>
      <c r="D48" s="32" t="s">
        <v>187</v>
      </c>
      <c r="E48" s="32" t="s">
        <v>190</v>
      </c>
      <c r="F48" s="32" t="s">
        <v>0</v>
      </c>
      <c r="G48" s="42">
        <f>G49+G51+G53+G58+G55</f>
        <v>8162499.2200000007</v>
      </c>
      <c r="H48" s="42">
        <f>H49+H51+H53+H58+H55</f>
        <v>2018629.31</v>
      </c>
      <c r="I48" s="42">
        <f>I49+I51+I53+I58+I55</f>
        <v>10181128.530000001</v>
      </c>
      <c r="J48" s="42">
        <f>J49+J51+J53+J58+J55</f>
        <v>0</v>
      </c>
      <c r="K48" s="42">
        <f>K49+K51+K53+K58+K55</f>
        <v>10181128.530000001</v>
      </c>
      <c r="L48" s="42">
        <f t="shared" ref="L48:O48" si="20">L49+L51+L53+L58+L55</f>
        <v>7391767.8899999997</v>
      </c>
      <c r="M48" s="42">
        <f>M49+M51+M53+M58+M55</f>
        <v>0</v>
      </c>
      <c r="N48" s="42">
        <f>N49+N51+N53+N58+N55</f>
        <v>7391767.8899999997</v>
      </c>
      <c r="O48" s="42">
        <f t="shared" si="20"/>
        <v>7687438.5999999996</v>
      </c>
      <c r="P48" s="42">
        <f>P49+P51+P53+P58+P55</f>
        <v>0</v>
      </c>
      <c r="Q48" s="42">
        <f>Q49+Q51+Q53+Q58+Q55</f>
        <v>7687438.5999999996</v>
      </c>
    </row>
    <row r="49" spans="1:17" x14ac:dyDescent="0.25">
      <c r="A49" s="34" t="s">
        <v>193</v>
      </c>
      <c r="B49" s="35" t="s">
        <v>397</v>
      </c>
      <c r="C49" s="36" t="s">
        <v>142</v>
      </c>
      <c r="D49" s="36" t="s">
        <v>187</v>
      </c>
      <c r="E49" s="36" t="s">
        <v>194</v>
      </c>
      <c r="F49" s="36" t="s">
        <v>0</v>
      </c>
      <c r="G49" s="43">
        <f t="shared" ref="G49:Q49" si="21">G50</f>
        <v>274801</v>
      </c>
      <c r="H49" s="43">
        <f t="shared" si="21"/>
        <v>1640259.96</v>
      </c>
      <c r="I49" s="43">
        <f t="shared" si="21"/>
        <v>1915060.96</v>
      </c>
      <c r="J49" s="43">
        <f t="shared" si="21"/>
        <v>0</v>
      </c>
      <c r="K49" s="43">
        <f t="shared" si="21"/>
        <v>1915060.96</v>
      </c>
      <c r="L49" s="43">
        <f t="shared" si="21"/>
        <v>283045.03000000003</v>
      </c>
      <c r="M49" s="43">
        <f t="shared" si="21"/>
        <v>0</v>
      </c>
      <c r="N49" s="43">
        <f t="shared" si="21"/>
        <v>283045.03000000003</v>
      </c>
      <c r="O49" s="43">
        <f t="shared" si="21"/>
        <v>294366.83</v>
      </c>
      <c r="P49" s="43">
        <f t="shared" si="21"/>
        <v>0</v>
      </c>
      <c r="Q49" s="43">
        <f t="shared" si="21"/>
        <v>294366.83</v>
      </c>
    </row>
    <row r="50" spans="1:17" ht="30" x14ac:dyDescent="0.25">
      <c r="A50" s="96" t="s">
        <v>153</v>
      </c>
      <c r="B50" s="97" t="s">
        <v>397</v>
      </c>
      <c r="C50" s="98" t="s">
        <v>142</v>
      </c>
      <c r="D50" s="98" t="s">
        <v>187</v>
      </c>
      <c r="E50" s="98" t="s">
        <v>194</v>
      </c>
      <c r="F50" s="98" t="s">
        <v>158</v>
      </c>
      <c r="G50" s="103">
        <v>274801</v>
      </c>
      <c r="H50" s="44">
        <v>1640259.96</v>
      </c>
      <c r="I50" s="103">
        <f>G50+H50</f>
        <v>1915060.96</v>
      </c>
      <c r="J50" s="44">
        <v>0</v>
      </c>
      <c r="K50" s="103">
        <f>I50+J50</f>
        <v>1915060.96</v>
      </c>
      <c r="L50" s="103">
        <v>283045.03000000003</v>
      </c>
      <c r="M50" s="44">
        <v>0</v>
      </c>
      <c r="N50" s="103">
        <f>L50+M50</f>
        <v>283045.03000000003</v>
      </c>
      <c r="O50" s="103">
        <v>294366.83</v>
      </c>
      <c r="P50" s="44">
        <v>0</v>
      </c>
      <c r="Q50" s="103">
        <f>O50+P50</f>
        <v>294366.83</v>
      </c>
    </row>
    <row r="51" spans="1:17" x14ac:dyDescent="0.25">
      <c r="A51" s="34" t="s">
        <v>195</v>
      </c>
      <c r="B51" s="35" t="s">
        <v>397</v>
      </c>
      <c r="C51" s="36" t="s">
        <v>142</v>
      </c>
      <c r="D51" s="36" t="s">
        <v>187</v>
      </c>
      <c r="E51" s="36" t="s">
        <v>196</v>
      </c>
      <c r="F51" s="36" t="s">
        <v>0</v>
      </c>
      <c r="G51" s="43">
        <f t="shared" ref="G51:Q51" si="22">G52</f>
        <v>267185</v>
      </c>
      <c r="H51" s="43">
        <f t="shared" si="22"/>
        <v>0</v>
      </c>
      <c r="I51" s="43">
        <f t="shared" si="22"/>
        <v>267185</v>
      </c>
      <c r="J51" s="43">
        <f t="shared" si="22"/>
        <v>0</v>
      </c>
      <c r="K51" s="43">
        <f t="shared" si="22"/>
        <v>267185</v>
      </c>
      <c r="L51" s="43">
        <f t="shared" si="22"/>
        <v>275200.55</v>
      </c>
      <c r="M51" s="43">
        <f t="shared" si="22"/>
        <v>0</v>
      </c>
      <c r="N51" s="43">
        <f t="shared" si="22"/>
        <v>275200.55</v>
      </c>
      <c r="O51" s="43">
        <f t="shared" si="22"/>
        <v>286208.57</v>
      </c>
      <c r="P51" s="43">
        <f t="shared" si="22"/>
        <v>0</v>
      </c>
      <c r="Q51" s="43">
        <f t="shared" si="22"/>
        <v>286208.57</v>
      </c>
    </row>
    <row r="52" spans="1:17" ht="30" x14ac:dyDescent="0.25">
      <c r="A52" s="96" t="s">
        <v>153</v>
      </c>
      <c r="B52" s="97" t="s">
        <v>397</v>
      </c>
      <c r="C52" s="98" t="s">
        <v>142</v>
      </c>
      <c r="D52" s="98" t="s">
        <v>187</v>
      </c>
      <c r="E52" s="98" t="s">
        <v>196</v>
      </c>
      <c r="F52" s="98" t="s">
        <v>158</v>
      </c>
      <c r="G52" s="40">
        <v>267185</v>
      </c>
      <c r="H52" s="40">
        <v>0</v>
      </c>
      <c r="I52" s="103">
        <f>G52+H52</f>
        <v>267185</v>
      </c>
      <c r="J52" s="40">
        <v>0</v>
      </c>
      <c r="K52" s="103">
        <f>I52+J52</f>
        <v>267185</v>
      </c>
      <c r="L52" s="40">
        <v>275200.55</v>
      </c>
      <c r="M52" s="40">
        <v>0</v>
      </c>
      <c r="N52" s="103">
        <f>L52+M52</f>
        <v>275200.55</v>
      </c>
      <c r="O52" s="45">
        <v>286208.57</v>
      </c>
      <c r="P52" s="40">
        <v>0</v>
      </c>
      <c r="Q52" s="103">
        <f>O52+P52</f>
        <v>286208.57</v>
      </c>
    </row>
    <row r="53" spans="1:17" x14ac:dyDescent="0.25">
      <c r="A53" s="34" t="s">
        <v>197</v>
      </c>
      <c r="B53" s="35" t="s">
        <v>397</v>
      </c>
      <c r="C53" s="36" t="s">
        <v>142</v>
      </c>
      <c r="D53" s="36" t="s">
        <v>187</v>
      </c>
      <c r="E53" s="36" t="s">
        <v>198</v>
      </c>
      <c r="F53" s="36" t="s">
        <v>0</v>
      </c>
      <c r="G53" s="43">
        <f t="shared" ref="G53:Q53" si="23">G54</f>
        <v>2388848</v>
      </c>
      <c r="H53" s="43">
        <f t="shared" si="23"/>
        <v>0</v>
      </c>
      <c r="I53" s="43">
        <f t="shared" si="23"/>
        <v>2388848</v>
      </c>
      <c r="J53" s="43">
        <f t="shared" si="23"/>
        <v>0</v>
      </c>
      <c r="K53" s="43">
        <f t="shared" si="23"/>
        <v>2388848</v>
      </c>
      <c r="L53" s="43">
        <f t="shared" si="23"/>
        <v>2460513.44</v>
      </c>
      <c r="M53" s="43">
        <f t="shared" si="23"/>
        <v>0</v>
      </c>
      <c r="N53" s="43">
        <f t="shared" si="23"/>
        <v>2460513.44</v>
      </c>
      <c r="O53" s="43">
        <f t="shared" si="23"/>
        <v>2558933.98</v>
      </c>
      <c r="P53" s="43">
        <f t="shared" si="23"/>
        <v>0</v>
      </c>
      <c r="Q53" s="43">
        <f t="shared" si="23"/>
        <v>2558933.98</v>
      </c>
    </row>
    <row r="54" spans="1:17" ht="30" x14ac:dyDescent="0.25">
      <c r="A54" s="96" t="s">
        <v>153</v>
      </c>
      <c r="B54" s="97" t="s">
        <v>397</v>
      </c>
      <c r="C54" s="98" t="s">
        <v>142</v>
      </c>
      <c r="D54" s="98" t="s">
        <v>187</v>
      </c>
      <c r="E54" s="98" t="s">
        <v>198</v>
      </c>
      <c r="F54" s="98" t="s">
        <v>158</v>
      </c>
      <c r="G54" s="103">
        <v>2388848</v>
      </c>
      <c r="H54" s="103">
        <v>0</v>
      </c>
      <c r="I54" s="103">
        <f>G54+H54</f>
        <v>2388848</v>
      </c>
      <c r="J54" s="103">
        <v>0</v>
      </c>
      <c r="K54" s="103">
        <f>I54+J54</f>
        <v>2388848</v>
      </c>
      <c r="L54" s="103">
        <v>2460513.44</v>
      </c>
      <c r="M54" s="103">
        <v>0</v>
      </c>
      <c r="N54" s="103">
        <f>L54+M54</f>
        <v>2460513.44</v>
      </c>
      <c r="O54" s="103">
        <v>2558933.98</v>
      </c>
      <c r="P54" s="103">
        <v>0</v>
      </c>
      <c r="Q54" s="103">
        <f>O54+P54</f>
        <v>2558933.98</v>
      </c>
    </row>
    <row r="55" spans="1:17" x14ac:dyDescent="0.25">
      <c r="A55" s="34" t="s">
        <v>199</v>
      </c>
      <c r="B55" s="35" t="s">
        <v>397</v>
      </c>
      <c r="C55" s="36" t="s">
        <v>142</v>
      </c>
      <c r="D55" s="36" t="s">
        <v>187</v>
      </c>
      <c r="E55" s="36" t="s">
        <v>200</v>
      </c>
      <c r="F55" s="36" t="s">
        <v>0</v>
      </c>
      <c r="G55" s="43">
        <f t="shared" ref="G55:Q55" si="24">G56+G57</f>
        <v>2355729</v>
      </c>
      <c r="H55" s="43">
        <f t="shared" si="24"/>
        <v>0</v>
      </c>
      <c r="I55" s="43">
        <f t="shared" si="24"/>
        <v>2355729</v>
      </c>
      <c r="J55" s="43">
        <f t="shared" si="24"/>
        <v>0</v>
      </c>
      <c r="K55" s="43">
        <f t="shared" si="24"/>
        <v>2355729</v>
      </c>
      <c r="L55" s="43">
        <f t="shared" si="24"/>
        <v>2426400.87</v>
      </c>
      <c r="M55" s="43">
        <f t="shared" si="24"/>
        <v>0</v>
      </c>
      <c r="N55" s="43">
        <f t="shared" si="24"/>
        <v>2426400.87</v>
      </c>
      <c r="O55" s="43">
        <f t="shared" si="24"/>
        <v>2523456.9</v>
      </c>
      <c r="P55" s="43">
        <f t="shared" si="24"/>
        <v>0</v>
      </c>
      <c r="Q55" s="43">
        <f t="shared" si="24"/>
        <v>2523456.9</v>
      </c>
    </row>
    <row r="56" spans="1:17" ht="11.25" customHeight="1" x14ac:dyDescent="0.25">
      <c r="A56" s="96" t="s">
        <v>153</v>
      </c>
      <c r="B56" s="97" t="s">
        <v>397</v>
      </c>
      <c r="C56" s="98" t="s">
        <v>142</v>
      </c>
      <c r="D56" s="98" t="s">
        <v>187</v>
      </c>
      <c r="E56" s="98" t="s">
        <v>200</v>
      </c>
      <c r="F56" s="98" t="s">
        <v>158</v>
      </c>
      <c r="G56" s="103">
        <v>2355729</v>
      </c>
      <c r="H56" s="103">
        <v>0</v>
      </c>
      <c r="I56" s="103">
        <f>G56+H56</f>
        <v>2355729</v>
      </c>
      <c r="J56" s="103">
        <v>0</v>
      </c>
      <c r="K56" s="103">
        <f>I56+J56</f>
        <v>2355729</v>
      </c>
      <c r="L56" s="103">
        <v>2426400.87</v>
      </c>
      <c r="M56" s="103">
        <v>0</v>
      </c>
      <c r="N56" s="103">
        <f>L56+M56</f>
        <v>2426400.87</v>
      </c>
      <c r="O56" s="103">
        <v>2523456.9</v>
      </c>
      <c r="P56" s="103">
        <v>0</v>
      </c>
      <c r="Q56" s="103">
        <f>O56+P56</f>
        <v>2523456.9</v>
      </c>
    </row>
    <row r="57" spans="1:17" ht="11.25" customHeight="1" x14ac:dyDescent="0.25">
      <c r="A57" s="96" t="s">
        <v>172</v>
      </c>
      <c r="B57" s="97" t="s">
        <v>397</v>
      </c>
      <c r="C57" s="98" t="s">
        <v>142</v>
      </c>
      <c r="D57" s="98" t="s">
        <v>187</v>
      </c>
      <c r="E57" s="98" t="s">
        <v>400</v>
      </c>
      <c r="F57" s="98" t="s">
        <v>173</v>
      </c>
      <c r="G57" s="103">
        <v>0</v>
      </c>
      <c r="H57" s="103">
        <v>0</v>
      </c>
      <c r="I57" s="103">
        <f>G57+H57</f>
        <v>0</v>
      </c>
      <c r="J57" s="103">
        <v>0</v>
      </c>
      <c r="K57" s="103">
        <f>I57+J57</f>
        <v>0</v>
      </c>
      <c r="L57" s="103">
        <v>0</v>
      </c>
      <c r="M57" s="103">
        <v>0</v>
      </c>
      <c r="N57" s="103">
        <f>L57+M57</f>
        <v>0</v>
      </c>
      <c r="O57" s="103">
        <v>0</v>
      </c>
      <c r="P57" s="103">
        <v>0</v>
      </c>
      <c r="Q57" s="103">
        <f>O57+P57</f>
        <v>0</v>
      </c>
    </row>
    <row r="58" spans="1:17" x14ac:dyDescent="0.25">
      <c r="A58" s="34" t="s">
        <v>203</v>
      </c>
      <c r="B58" s="35" t="s">
        <v>397</v>
      </c>
      <c r="C58" s="36" t="s">
        <v>142</v>
      </c>
      <c r="D58" s="36" t="s">
        <v>187</v>
      </c>
      <c r="E58" s="36" t="s">
        <v>204</v>
      </c>
      <c r="F58" s="36" t="s">
        <v>0</v>
      </c>
      <c r="G58" s="43">
        <f t="shared" ref="G58:Q58" si="25">G59</f>
        <v>2875936.22</v>
      </c>
      <c r="H58" s="43">
        <f t="shared" si="25"/>
        <v>378369.35</v>
      </c>
      <c r="I58" s="43">
        <f t="shared" si="25"/>
        <v>3254305.5700000003</v>
      </c>
      <c r="J58" s="43">
        <f t="shared" si="25"/>
        <v>0</v>
      </c>
      <c r="K58" s="43">
        <f t="shared" si="25"/>
        <v>3254305.5700000003</v>
      </c>
      <c r="L58" s="43">
        <f t="shared" si="25"/>
        <v>1946608</v>
      </c>
      <c r="M58" s="43">
        <f t="shared" si="25"/>
        <v>0</v>
      </c>
      <c r="N58" s="43">
        <f t="shared" si="25"/>
        <v>1946608</v>
      </c>
      <c r="O58" s="43">
        <f t="shared" si="25"/>
        <v>2024472.32</v>
      </c>
      <c r="P58" s="43">
        <f t="shared" si="25"/>
        <v>0</v>
      </c>
      <c r="Q58" s="43">
        <f t="shared" si="25"/>
        <v>2024472.32</v>
      </c>
    </row>
    <row r="59" spans="1:17" ht="30" x14ac:dyDescent="0.25">
      <c r="A59" s="96" t="s">
        <v>153</v>
      </c>
      <c r="B59" s="97" t="s">
        <v>397</v>
      </c>
      <c r="C59" s="98" t="s">
        <v>142</v>
      </c>
      <c r="D59" s="98" t="s">
        <v>187</v>
      </c>
      <c r="E59" s="98" t="s">
        <v>204</v>
      </c>
      <c r="F59" s="98" t="s">
        <v>158</v>
      </c>
      <c r="G59" s="103">
        <v>2875936.22</v>
      </c>
      <c r="H59" s="103">
        <v>378369.35</v>
      </c>
      <c r="I59" s="103">
        <f>G59+H59</f>
        <v>3254305.5700000003</v>
      </c>
      <c r="J59" s="103">
        <v>0</v>
      </c>
      <c r="K59" s="103">
        <f>I59+J59</f>
        <v>3254305.5700000003</v>
      </c>
      <c r="L59" s="103">
        <v>1946608</v>
      </c>
      <c r="M59" s="103">
        <v>0</v>
      </c>
      <c r="N59" s="103">
        <f>L59+M59</f>
        <v>1946608</v>
      </c>
      <c r="O59" s="103">
        <v>2024472.32</v>
      </c>
      <c r="P59" s="103">
        <v>0</v>
      </c>
      <c r="Q59" s="103">
        <f>O59+P59</f>
        <v>2024472.32</v>
      </c>
    </row>
    <row r="60" spans="1:17" x14ac:dyDescent="0.25">
      <c r="A60" s="30" t="s">
        <v>145</v>
      </c>
      <c r="B60" s="31" t="s">
        <v>397</v>
      </c>
      <c r="C60" s="32" t="s">
        <v>142</v>
      </c>
      <c r="D60" s="32" t="s">
        <v>187</v>
      </c>
      <c r="E60" s="32" t="s">
        <v>146</v>
      </c>
      <c r="F60" s="32" t="s">
        <v>0</v>
      </c>
      <c r="G60" s="42">
        <f t="shared" ref="G60:Q60" si="26">G61+G68</f>
        <v>10641818.870000001</v>
      </c>
      <c r="H60" s="42">
        <f t="shared" si="26"/>
        <v>54845.65</v>
      </c>
      <c r="I60" s="42">
        <f t="shared" si="26"/>
        <v>10696664.52</v>
      </c>
      <c r="J60" s="42">
        <f t="shared" si="26"/>
        <v>227886.98</v>
      </c>
      <c r="K60" s="42">
        <f t="shared" si="26"/>
        <v>10924551.5</v>
      </c>
      <c r="L60" s="42">
        <f t="shared" si="26"/>
        <v>17147102.219999999</v>
      </c>
      <c r="M60" s="42">
        <f t="shared" si="26"/>
        <v>0</v>
      </c>
      <c r="N60" s="42">
        <f t="shared" si="26"/>
        <v>17147102.219999999</v>
      </c>
      <c r="O60" s="42">
        <f t="shared" si="26"/>
        <v>31350655.790000003</v>
      </c>
      <c r="P60" s="42">
        <f t="shared" si="26"/>
        <v>0</v>
      </c>
      <c r="Q60" s="42">
        <f t="shared" si="26"/>
        <v>31350655.790000003</v>
      </c>
    </row>
    <row r="61" spans="1:17" x14ac:dyDescent="0.25">
      <c r="A61" s="30" t="s">
        <v>180</v>
      </c>
      <c r="B61" s="31" t="s">
        <v>397</v>
      </c>
      <c r="C61" s="32" t="s">
        <v>142</v>
      </c>
      <c r="D61" s="32" t="s">
        <v>187</v>
      </c>
      <c r="E61" s="32" t="s">
        <v>181</v>
      </c>
      <c r="F61" s="32" t="s">
        <v>0</v>
      </c>
      <c r="G61" s="42">
        <f t="shared" ref="G61:Q61" si="27">G62+G64</f>
        <v>10641818.870000001</v>
      </c>
      <c r="H61" s="42">
        <f t="shared" si="27"/>
        <v>54845.65</v>
      </c>
      <c r="I61" s="42">
        <f t="shared" si="27"/>
        <v>10696664.52</v>
      </c>
      <c r="J61" s="42">
        <f t="shared" si="27"/>
        <v>227886.98</v>
      </c>
      <c r="K61" s="42">
        <f t="shared" si="27"/>
        <v>10924551.5</v>
      </c>
      <c r="L61" s="42">
        <f t="shared" si="27"/>
        <v>4470774.84</v>
      </c>
      <c r="M61" s="42">
        <f t="shared" si="27"/>
        <v>0</v>
      </c>
      <c r="N61" s="42">
        <f t="shared" si="27"/>
        <v>4470774.84</v>
      </c>
      <c r="O61" s="42">
        <f t="shared" si="27"/>
        <v>5056672.37</v>
      </c>
      <c r="P61" s="42">
        <f t="shared" si="27"/>
        <v>0</v>
      </c>
      <c r="Q61" s="42">
        <f t="shared" si="27"/>
        <v>5056672.37</v>
      </c>
    </row>
    <row r="62" spans="1:17" ht="27" x14ac:dyDescent="0.25">
      <c r="A62" s="34" t="s">
        <v>205</v>
      </c>
      <c r="B62" s="35" t="s">
        <v>397</v>
      </c>
      <c r="C62" s="36" t="s">
        <v>142</v>
      </c>
      <c r="D62" s="36" t="s">
        <v>187</v>
      </c>
      <c r="E62" s="36" t="s">
        <v>206</v>
      </c>
      <c r="F62" s="36" t="s">
        <v>0</v>
      </c>
      <c r="G62" s="43">
        <f t="shared" ref="G62:Q62" si="28">G63</f>
        <v>6641958</v>
      </c>
      <c r="H62" s="43">
        <f t="shared" si="28"/>
        <v>54845.65</v>
      </c>
      <c r="I62" s="43">
        <f t="shared" si="28"/>
        <v>6696803.6500000004</v>
      </c>
      <c r="J62" s="43">
        <f t="shared" si="28"/>
        <v>252086.98</v>
      </c>
      <c r="K62" s="43">
        <f t="shared" si="28"/>
        <v>6948890.6300000008</v>
      </c>
      <c r="L62" s="43">
        <f t="shared" si="28"/>
        <v>400000</v>
      </c>
      <c r="M62" s="43">
        <f t="shared" si="28"/>
        <v>0</v>
      </c>
      <c r="N62" s="43">
        <f t="shared" si="28"/>
        <v>400000</v>
      </c>
      <c r="O62" s="43">
        <f t="shared" si="28"/>
        <v>100000</v>
      </c>
      <c r="P62" s="43">
        <f t="shared" si="28"/>
        <v>0</v>
      </c>
      <c r="Q62" s="43">
        <f t="shared" si="28"/>
        <v>100000</v>
      </c>
    </row>
    <row r="63" spans="1:17" x14ac:dyDescent="0.25">
      <c r="A63" s="96" t="s">
        <v>172</v>
      </c>
      <c r="B63" s="97" t="s">
        <v>397</v>
      </c>
      <c r="C63" s="98" t="s">
        <v>142</v>
      </c>
      <c r="D63" s="98" t="s">
        <v>187</v>
      </c>
      <c r="E63" s="98" t="s">
        <v>206</v>
      </c>
      <c r="F63" s="98" t="s">
        <v>173</v>
      </c>
      <c r="G63" s="103">
        <v>6641958</v>
      </c>
      <c r="H63" s="103">
        <v>54845.65</v>
      </c>
      <c r="I63" s="103">
        <f>G63+H63</f>
        <v>6696803.6500000004</v>
      </c>
      <c r="J63" s="103">
        <f>'По разделам 4'!I71</f>
        <v>252086.98</v>
      </c>
      <c r="K63" s="103">
        <f>I63+J63</f>
        <v>6948890.6300000008</v>
      </c>
      <c r="L63" s="103">
        <v>400000</v>
      </c>
      <c r="M63" s="103">
        <v>0</v>
      </c>
      <c r="N63" s="103">
        <f>L63+M63</f>
        <v>400000</v>
      </c>
      <c r="O63" s="103">
        <v>100000</v>
      </c>
      <c r="P63" s="103">
        <v>0</v>
      </c>
      <c r="Q63" s="103">
        <f>O63+P63</f>
        <v>100000</v>
      </c>
    </row>
    <row r="64" spans="1:17" ht="12.75" customHeight="1" x14ac:dyDescent="0.25">
      <c r="A64" s="34" t="s">
        <v>207</v>
      </c>
      <c r="B64" s="35" t="s">
        <v>397</v>
      </c>
      <c r="C64" s="36" t="s">
        <v>142</v>
      </c>
      <c r="D64" s="36" t="s">
        <v>187</v>
      </c>
      <c r="E64" s="36" t="s">
        <v>208</v>
      </c>
      <c r="F64" s="36" t="s">
        <v>0</v>
      </c>
      <c r="G64" s="43">
        <f t="shared" ref="G64:Q64" si="29">G65+G66+G67</f>
        <v>3999860.87</v>
      </c>
      <c r="H64" s="43">
        <f t="shared" si="29"/>
        <v>0</v>
      </c>
      <c r="I64" s="43">
        <f t="shared" si="29"/>
        <v>3999860.87</v>
      </c>
      <c r="J64" s="43">
        <f t="shared" si="29"/>
        <v>-24200</v>
      </c>
      <c r="K64" s="43">
        <f t="shared" si="29"/>
        <v>3975660.87</v>
      </c>
      <c r="L64" s="43">
        <f t="shared" si="29"/>
        <v>4070774.8400000003</v>
      </c>
      <c r="M64" s="43">
        <f t="shared" si="29"/>
        <v>0</v>
      </c>
      <c r="N64" s="43">
        <f t="shared" si="29"/>
        <v>4070774.8400000003</v>
      </c>
      <c r="O64" s="43">
        <f t="shared" si="29"/>
        <v>4956672.37</v>
      </c>
      <c r="P64" s="43">
        <f t="shared" si="29"/>
        <v>0</v>
      </c>
      <c r="Q64" s="43">
        <f t="shared" si="29"/>
        <v>4956672.37</v>
      </c>
    </row>
    <row r="65" spans="1:17" ht="30" x14ac:dyDescent="0.25">
      <c r="A65" s="96" t="s">
        <v>153</v>
      </c>
      <c r="B65" s="97" t="s">
        <v>397</v>
      </c>
      <c r="C65" s="98" t="s">
        <v>142</v>
      </c>
      <c r="D65" s="98" t="s">
        <v>187</v>
      </c>
      <c r="E65" s="98" t="s">
        <v>208</v>
      </c>
      <c r="F65" s="98" t="s">
        <v>158</v>
      </c>
      <c r="G65" s="103">
        <v>3022079.62</v>
      </c>
      <c r="H65" s="103">
        <v>0</v>
      </c>
      <c r="I65" s="103">
        <f>G65+H65</f>
        <v>3022079.62</v>
      </c>
      <c r="J65" s="103">
        <f>'По разделам 4'!I73</f>
        <v>-41000</v>
      </c>
      <c r="K65" s="103">
        <f>I65+J65</f>
        <v>2981079.62</v>
      </c>
      <c r="L65" s="103">
        <v>3081116.7800000003</v>
      </c>
      <c r="M65" s="103">
        <v>0</v>
      </c>
      <c r="N65" s="103">
        <f>L65+M65</f>
        <v>3081116.7800000003</v>
      </c>
      <c r="O65" s="103">
        <v>3515227.98</v>
      </c>
      <c r="P65" s="103">
        <v>0</v>
      </c>
      <c r="Q65" s="103">
        <f>O65+P65</f>
        <v>3515227.98</v>
      </c>
    </row>
    <row r="66" spans="1:17" x14ac:dyDescent="0.25">
      <c r="A66" s="96" t="s">
        <v>209</v>
      </c>
      <c r="B66" s="97" t="s">
        <v>397</v>
      </c>
      <c r="C66" s="98" t="s">
        <v>142</v>
      </c>
      <c r="D66" s="98" t="s">
        <v>187</v>
      </c>
      <c r="E66" s="98" t="s">
        <v>208</v>
      </c>
      <c r="F66" s="98" t="s">
        <v>210</v>
      </c>
      <c r="G66" s="103">
        <v>695000</v>
      </c>
      <c r="H66" s="103">
        <v>0</v>
      </c>
      <c r="I66" s="103">
        <f>G66+H66</f>
        <v>695000</v>
      </c>
      <c r="J66" s="103">
        <f>'По разделам 4'!I74</f>
        <v>0</v>
      </c>
      <c r="K66" s="103">
        <f>I66+J66</f>
        <v>695000</v>
      </c>
      <c r="L66" s="103">
        <v>695000</v>
      </c>
      <c r="M66" s="103">
        <v>0</v>
      </c>
      <c r="N66" s="103">
        <f>L66+M66</f>
        <v>695000</v>
      </c>
      <c r="O66" s="103">
        <v>1135000</v>
      </c>
      <c r="P66" s="103">
        <v>0</v>
      </c>
      <c r="Q66" s="103">
        <f>O66+P66</f>
        <v>1135000</v>
      </c>
    </row>
    <row r="67" spans="1:17" x14ac:dyDescent="0.25">
      <c r="A67" s="96" t="s">
        <v>172</v>
      </c>
      <c r="B67" s="97" t="s">
        <v>397</v>
      </c>
      <c r="C67" s="98" t="s">
        <v>142</v>
      </c>
      <c r="D67" s="98" t="s">
        <v>187</v>
      </c>
      <c r="E67" s="98" t="s">
        <v>208</v>
      </c>
      <c r="F67" s="98" t="s">
        <v>173</v>
      </c>
      <c r="G67" s="103">
        <v>282781.25</v>
      </c>
      <c r="H67" s="103">
        <v>0</v>
      </c>
      <c r="I67" s="103">
        <f>G67+H67</f>
        <v>282781.25</v>
      </c>
      <c r="J67" s="103">
        <f>'По разделам 4'!I75</f>
        <v>16800</v>
      </c>
      <c r="K67" s="103">
        <f>I67+J67</f>
        <v>299581.25</v>
      </c>
      <c r="L67" s="103">
        <v>294658.06</v>
      </c>
      <c r="M67" s="103">
        <v>0</v>
      </c>
      <c r="N67" s="103">
        <f>L67+M67</f>
        <v>294658.06</v>
      </c>
      <c r="O67" s="103">
        <v>306444.39</v>
      </c>
      <c r="P67" s="103">
        <v>0</v>
      </c>
      <c r="Q67" s="103">
        <f>O67+P67</f>
        <v>306444.39</v>
      </c>
    </row>
    <row r="68" spans="1:17" x14ac:dyDescent="0.25">
      <c r="A68" s="30" t="s">
        <v>211</v>
      </c>
      <c r="B68" s="31" t="s">
        <v>397</v>
      </c>
      <c r="C68" s="32" t="s">
        <v>142</v>
      </c>
      <c r="D68" s="32" t="s">
        <v>187</v>
      </c>
      <c r="E68" s="32" t="s">
        <v>212</v>
      </c>
      <c r="F68" s="32" t="s">
        <v>0</v>
      </c>
      <c r="G68" s="42">
        <f t="shared" ref="G68:Q69" si="30">G69</f>
        <v>0</v>
      </c>
      <c r="H68" s="42">
        <f t="shared" si="30"/>
        <v>0</v>
      </c>
      <c r="I68" s="42">
        <f t="shared" si="30"/>
        <v>0</v>
      </c>
      <c r="J68" s="42">
        <f t="shared" si="30"/>
        <v>0</v>
      </c>
      <c r="K68" s="42">
        <f t="shared" si="30"/>
        <v>0</v>
      </c>
      <c r="L68" s="42">
        <f t="shared" si="30"/>
        <v>12676327.380000001</v>
      </c>
      <c r="M68" s="42">
        <f t="shared" si="30"/>
        <v>0</v>
      </c>
      <c r="N68" s="42">
        <f t="shared" si="30"/>
        <v>12676327.380000001</v>
      </c>
      <c r="O68" s="42">
        <f t="shared" si="30"/>
        <v>26293983.420000002</v>
      </c>
      <c r="P68" s="42">
        <f t="shared" si="30"/>
        <v>0</v>
      </c>
      <c r="Q68" s="42">
        <f t="shared" si="30"/>
        <v>26293983.420000002</v>
      </c>
    </row>
    <row r="69" spans="1:17" x14ac:dyDescent="0.25">
      <c r="A69" s="48" t="s">
        <v>211</v>
      </c>
      <c r="B69" s="36" t="s">
        <v>397</v>
      </c>
      <c r="C69" s="36" t="s">
        <v>142</v>
      </c>
      <c r="D69" s="36" t="s">
        <v>187</v>
      </c>
      <c r="E69" s="36" t="s">
        <v>212</v>
      </c>
      <c r="F69" s="36" t="s">
        <v>0</v>
      </c>
      <c r="G69" s="43">
        <f t="shared" si="30"/>
        <v>0</v>
      </c>
      <c r="H69" s="43">
        <f t="shared" si="30"/>
        <v>0</v>
      </c>
      <c r="I69" s="43">
        <f t="shared" si="30"/>
        <v>0</v>
      </c>
      <c r="J69" s="43">
        <f t="shared" si="30"/>
        <v>0</v>
      </c>
      <c r="K69" s="43">
        <f t="shared" si="30"/>
        <v>0</v>
      </c>
      <c r="L69" s="43">
        <f t="shared" si="30"/>
        <v>12676327.380000001</v>
      </c>
      <c r="M69" s="43">
        <f t="shared" si="30"/>
        <v>0</v>
      </c>
      <c r="N69" s="43">
        <f t="shared" si="30"/>
        <v>12676327.380000001</v>
      </c>
      <c r="O69" s="43">
        <f t="shared" si="30"/>
        <v>26293983.420000002</v>
      </c>
      <c r="P69" s="43">
        <f t="shared" si="30"/>
        <v>0</v>
      </c>
      <c r="Q69" s="43">
        <f t="shared" si="30"/>
        <v>26293983.420000002</v>
      </c>
    </row>
    <row r="70" spans="1:17" x14ac:dyDescent="0.25">
      <c r="A70" s="105" t="s">
        <v>172</v>
      </c>
      <c r="B70" s="98" t="s">
        <v>397</v>
      </c>
      <c r="C70" s="98" t="s">
        <v>142</v>
      </c>
      <c r="D70" s="98" t="s">
        <v>187</v>
      </c>
      <c r="E70" s="98" t="s">
        <v>212</v>
      </c>
      <c r="F70" s="98" t="s">
        <v>173</v>
      </c>
      <c r="G70" s="103">
        <v>0</v>
      </c>
      <c r="H70" s="103">
        <v>0</v>
      </c>
      <c r="I70" s="103">
        <f>G70+H70</f>
        <v>0</v>
      </c>
      <c r="J70" s="103">
        <v>0</v>
      </c>
      <c r="K70" s="103">
        <f>I70+J70</f>
        <v>0</v>
      </c>
      <c r="L70" s="44">
        <v>12676327.380000001</v>
      </c>
      <c r="M70" s="103">
        <v>0</v>
      </c>
      <c r="N70" s="103">
        <f>L70+M70</f>
        <v>12676327.380000001</v>
      </c>
      <c r="O70" s="44">
        <v>26293983.420000002</v>
      </c>
      <c r="P70" s="103">
        <v>0</v>
      </c>
      <c r="Q70" s="103">
        <f>O70+P70</f>
        <v>26293983.420000002</v>
      </c>
    </row>
    <row r="71" spans="1:17" ht="25.5" x14ac:dyDescent="0.25">
      <c r="A71" s="30" t="s">
        <v>213</v>
      </c>
      <c r="B71" s="31" t="s">
        <v>397</v>
      </c>
      <c r="C71" s="32" t="s">
        <v>155</v>
      </c>
      <c r="D71" s="32" t="s">
        <v>0</v>
      </c>
      <c r="E71" s="32" t="s">
        <v>0</v>
      </c>
      <c r="F71" s="32" t="s">
        <v>0</v>
      </c>
      <c r="G71" s="42">
        <f t="shared" ref="G71:Q71" si="31">G78+G72</f>
        <v>4628586.1500000004</v>
      </c>
      <c r="H71" s="42">
        <f t="shared" si="31"/>
        <v>77798.100000000006</v>
      </c>
      <c r="I71" s="42">
        <f t="shared" si="31"/>
        <v>4706384.25</v>
      </c>
      <c r="J71" s="42">
        <f t="shared" si="31"/>
        <v>0</v>
      </c>
      <c r="K71" s="42">
        <f t="shared" si="31"/>
        <v>4706384.25</v>
      </c>
      <c r="L71" s="42">
        <f t="shared" si="31"/>
        <v>4628586.1500000004</v>
      </c>
      <c r="M71" s="42">
        <f t="shared" si="31"/>
        <v>2000000</v>
      </c>
      <c r="N71" s="42">
        <f t="shared" si="31"/>
        <v>6628586.1500000004</v>
      </c>
      <c r="O71" s="42">
        <f t="shared" si="31"/>
        <v>3933586.1500000004</v>
      </c>
      <c r="P71" s="42">
        <f t="shared" si="31"/>
        <v>2000000</v>
      </c>
      <c r="Q71" s="42">
        <f t="shared" si="31"/>
        <v>5933586.1500000004</v>
      </c>
    </row>
    <row r="72" spans="1:17" ht="24.75" customHeight="1" x14ac:dyDescent="0.25">
      <c r="A72" s="30" t="s">
        <v>214</v>
      </c>
      <c r="B72" s="31" t="s">
        <v>397</v>
      </c>
      <c r="C72" s="32" t="s">
        <v>155</v>
      </c>
      <c r="D72" s="32">
        <v>10</v>
      </c>
      <c r="E72" s="32"/>
      <c r="F72" s="32"/>
      <c r="G72" s="42">
        <f t="shared" ref="G72:Q74" si="32">G73</f>
        <v>2727203.95</v>
      </c>
      <c r="H72" s="42">
        <f t="shared" si="32"/>
        <v>0</v>
      </c>
      <c r="I72" s="42">
        <f t="shared" si="32"/>
        <v>2727203.95</v>
      </c>
      <c r="J72" s="42">
        <f t="shared" si="32"/>
        <v>510518.9</v>
      </c>
      <c r="K72" s="42">
        <f t="shared" si="32"/>
        <v>3237722.85</v>
      </c>
      <c r="L72" s="42">
        <f t="shared" si="32"/>
        <v>2727203.95</v>
      </c>
      <c r="M72" s="42">
        <f t="shared" si="32"/>
        <v>2000000</v>
      </c>
      <c r="N72" s="42">
        <f t="shared" si="32"/>
        <v>4727203.95</v>
      </c>
      <c r="O72" s="42">
        <f t="shared" si="32"/>
        <v>2727203.95</v>
      </c>
      <c r="P72" s="42">
        <f t="shared" si="32"/>
        <v>2000000</v>
      </c>
      <c r="Q72" s="42">
        <f t="shared" si="32"/>
        <v>4727203.95</v>
      </c>
    </row>
    <row r="73" spans="1:17" ht="25.5" x14ac:dyDescent="0.25">
      <c r="A73" s="30" t="s">
        <v>215</v>
      </c>
      <c r="B73" s="31" t="s">
        <v>397</v>
      </c>
      <c r="C73" s="32" t="s">
        <v>155</v>
      </c>
      <c r="D73" s="32">
        <v>10</v>
      </c>
      <c r="E73" s="32" t="s">
        <v>216</v>
      </c>
      <c r="F73" s="32"/>
      <c r="G73" s="42">
        <f t="shared" si="32"/>
        <v>2727203.95</v>
      </c>
      <c r="H73" s="42">
        <f t="shared" si="32"/>
        <v>0</v>
      </c>
      <c r="I73" s="42">
        <f t="shared" si="32"/>
        <v>2727203.95</v>
      </c>
      <c r="J73" s="42">
        <f t="shared" si="32"/>
        <v>510518.9</v>
      </c>
      <c r="K73" s="42">
        <f t="shared" si="32"/>
        <v>3237722.85</v>
      </c>
      <c r="L73" s="42">
        <f t="shared" si="32"/>
        <v>2727203.95</v>
      </c>
      <c r="M73" s="42">
        <f t="shared" si="32"/>
        <v>2000000</v>
      </c>
      <c r="N73" s="42">
        <f t="shared" si="32"/>
        <v>4727203.95</v>
      </c>
      <c r="O73" s="42">
        <f t="shared" si="32"/>
        <v>2727203.95</v>
      </c>
      <c r="P73" s="42">
        <f t="shared" si="32"/>
        <v>2000000</v>
      </c>
      <c r="Q73" s="42">
        <f t="shared" si="32"/>
        <v>4727203.95</v>
      </c>
    </row>
    <row r="74" spans="1:17" x14ac:dyDescent="0.25">
      <c r="A74" s="30" t="s">
        <v>165</v>
      </c>
      <c r="B74" s="31" t="s">
        <v>397</v>
      </c>
      <c r="C74" s="32" t="s">
        <v>155</v>
      </c>
      <c r="D74" s="32">
        <v>10</v>
      </c>
      <c r="E74" s="32" t="s">
        <v>217</v>
      </c>
      <c r="F74" s="32"/>
      <c r="G74" s="42">
        <f t="shared" si="32"/>
        <v>2727203.95</v>
      </c>
      <c r="H74" s="42">
        <f t="shared" si="32"/>
        <v>0</v>
      </c>
      <c r="I74" s="42">
        <f t="shared" si="32"/>
        <v>2727203.95</v>
      </c>
      <c r="J74" s="42">
        <f t="shared" si="32"/>
        <v>510518.9</v>
      </c>
      <c r="K74" s="42">
        <f t="shared" si="32"/>
        <v>3237722.85</v>
      </c>
      <c r="L74" s="42">
        <f t="shared" si="32"/>
        <v>2727203.95</v>
      </c>
      <c r="M74" s="42">
        <f t="shared" si="32"/>
        <v>2000000</v>
      </c>
      <c r="N74" s="42">
        <f t="shared" si="32"/>
        <v>4727203.95</v>
      </c>
      <c r="O74" s="42">
        <f t="shared" si="32"/>
        <v>2727203.95</v>
      </c>
      <c r="P74" s="42">
        <f t="shared" si="32"/>
        <v>2000000</v>
      </c>
      <c r="Q74" s="42">
        <f t="shared" si="32"/>
        <v>4727203.95</v>
      </c>
    </row>
    <row r="75" spans="1:17" ht="27" x14ac:dyDescent="0.25">
      <c r="A75" s="34" t="s">
        <v>218</v>
      </c>
      <c r="B75" s="35" t="s">
        <v>397</v>
      </c>
      <c r="C75" s="36" t="s">
        <v>155</v>
      </c>
      <c r="D75" s="36">
        <v>10</v>
      </c>
      <c r="E75" s="36" t="s">
        <v>219</v>
      </c>
      <c r="F75" s="32"/>
      <c r="G75" s="43">
        <f>G76+G77</f>
        <v>2727203.95</v>
      </c>
      <c r="H75" s="43">
        <f>H76+H77</f>
        <v>0</v>
      </c>
      <c r="I75" s="43">
        <f>I76+I77</f>
        <v>2727203.95</v>
      </c>
      <c r="J75" s="43">
        <f>J76+J77</f>
        <v>510518.9</v>
      </c>
      <c r="K75" s="43">
        <f>K76+K77</f>
        <v>3237722.85</v>
      </c>
      <c r="L75" s="43">
        <f t="shared" ref="L75:O75" si="33">L76+L77</f>
        <v>2727203.95</v>
      </c>
      <c r="M75" s="43">
        <f>M76+M77</f>
        <v>2000000</v>
      </c>
      <c r="N75" s="43">
        <f>N76+N77</f>
        <v>4727203.95</v>
      </c>
      <c r="O75" s="43">
        <f t="shared" si="33"/>
        <v>2727203.95</v>
      </c>
      <c r="P75" s="43">
        <f>P76+P77</f>
        <v>2000000</v>
      </c>
      <c r="Q75" s="43">
        <f>Q76+Q77</f>
        <v>4727203.95</v>
      </c>
    </row>
    <row r="76" spans="1:17" ht="30" x14ac:dyDescent="0.25">
      <c r="A76" s="96" t="s">
        <v>153</v>
      </c>
      <c r="B76" s="49" t="s">
        <v>397</v>
      </c>
      <c r="C76" s="50" t="s">
        <v>155</v>
      </c>
      <c r="D76" s="50">
        <v>10</v>
      </c>
      <c r="E76" s="50" t="s">
        <v>219</v>
      </c>
      <c r="F76" s="50">
        <v>200</v>
      </c>
      <c r="G76" s="51">
        <f>528481.1+2198722.85</f>
        <v>2727203.95</v>
      </c>
      <c r="H76" s="51">
        <v>0</v>
      </c>
      <c r="I76" s="103">
        <f>G76+H76</f>
        <v>2727203.95</v>
      </c>
      <c r="J76" s="51">
        <f>'По разделам 4'!I84</f>
        <v>510518.9</v>
      </c>
      <c r="K76" s="103">
        <f>I76+J76</f>
        <v>3237722.85</v>
      </c>
      <c r="L76" s="51">
        <f>528481.1+2198722.85</f>
        <v>2727203.95</v>
      </c>
      <c r="M76" s="51">
        <f>'По разделам 4'!L84</f>
        <v>2000000</v>
      </c>
      <c r="N76" s="103">
        <f>L76+M76</f>
        <v>4727203.95</v>
      </c>
      <c r="O76" s="51">
        <f>528481.1+2198722.85</f>
        <v>2727203.95</v>
      </c>
      <c r="P76" s="51">
        <f>'По разделам 4'!O84</f>
        <v>2000000</v>
      </c>
      <c r="Q76" s="103">
        <f>O76+P76</f>
        <v>4727203.95</v>
      </c>
    </row>
    <row r="77" spans="1:17" ht="12.75" customHeight="1" x14ac:dyDescent="0.25">
      <c r="A77" s="52" t="s">
        <v>220</v>
      </c>
      <c r="B77" s="49" t="s">
        <v>397</v>
      </c>
      <c r="C77" s="50" t="s">
        <v>155</v>
      </c>
      <c r="D77" s="50">
        <v>10</v>
      </c>
      <c r="E77" s="50" t="s">
        <v>219</v>
      </c>
      <c r="F77" s="50">
        <v>300</v>
      </c>
      <c r="G77" s="51">
        <v>0</v>
      </c>
      <c r="H77" s="51">
        <v>0</v>
      </c>
      <c r="I77" s="103">
        <f>G77+H77</f>
        <v>0</v>
      </c>
      <c r="J77" s="51">
        <v>0</v>
      </c>
      <c r="K77" s="103">
        <f>I77+J77</f>
        <v>0</v>
      </c>
      <c r="L77" s="51">
        <v>0</v>
      </c>
      <c r="M77" s="51">
        <v>0</v>
      </c>
      <c r="N77" s="103">
        <f>L77+M77</f>
        <v>0</v>
      </c>
      <c r="O77" s="51">
        <v>0</v>
      </c>
      <c r="P77" s="51">
        <v>0</v>
      </c>
      <c r="Q77" s="103">
        <f>O77+P77</f>
        <v>0</v>
      </c>
    </row>
    <row r="78" spans="1:17" ht="25.5" x14ac:dyDescent="0.25">
      <c r="A78" s="30" t="s">
        <v>221</v>
      </c>
      <c r="B78" s="31" t="s">
        <v>397</v>
      </c>
      <c r="C78" s="32" t="s">
        <v>155</v>
      </c>
      <c r="D78" s="32" t="s">
        <v>222</v>
      </c>
      <c r="E78" s="32" t="s">
        <v>0</v>
      </c>
      <c r="F78" s="32" t="s">
        <v>0</v>
      </c>
      <c r="G78" s="42">
        <f t="shared" ref="G78:Q79" si="34">G79</f>
        <v>1901382.2000000002</v>
      </c>
      <c r="H78" s="42">
        <f t="shared" si="34"/>
        <v>77798.100000000006</v>
      </c>
      <c r="I78" s="42">
        <f t="shared" si="34"/>
        <v>1979180.3</v>
      </c>
      <c r="J78" s="42">
        <f t="shared" si="34"/>
        <v>-510518.9</v>
      </c>
      <c r="K78" s="42">
        <f t="shared" si="34"/>
        <v>1468661.4</v>
      </c>
      <c r="L78" s="42">
        <f t="shared" si="34"/>
        <v>1901382.2000000002</v>
      </c>
      <c r="M78" s="42">
        <f t="shared" si="34"/>
        <v>0</v>
      </c>
      <c r="N78" s="42">
        <f t="shared" si="34"/>
        <v>1901382.2000000002</v>
      </c>
      <c r="O78" s="42">
        <f t="shared" si="34"/>
        <v>1206382.2000000002</v>
      </c>
      <c r="P78" s="42">
        <f t="shared" si="34"/>
        <v>0</v>
      </c>
      <c r="Q78" s="42">
        <f t="shared" si="34"/>
        <v>1206382.2000000002</v>
      </c>
    </row>
    <row r="79" spans="1:17" x14ac:dyDescent="0.25">
      <c r="A79" s="53" t="s">
        <v>223</v>
      </c>
      <c r="B79" s="54" t="s">
        <v>397</v>
      </c>
      <c r="C79" s="55" t="s">
        <v>155</v>
      </c>
      <c r="D79" s="55" t="s">
        <v>222</v>
      </c>
      <c r="E79" s="55" t="s">
        <v>224</v>
      </c>
      <c r="F79" s="47"/>
      <c r="G79" s="42">
        <f t="shared" si="34"/>
        <v>1901382.2000000002</v>
      </c>
      <c r="H79" s="42">
        <f t="shared" si="34"/>
        <v>77798.100000000006</v>
      </c>
      <c r="I79" s="42">
        <f t="shared" si="34"/>
        <v>1979180.3</v>
      </c>
      <c r="J79" s="42">
        <f t="shared" si="34"/>
        <v>-510518.9</v>
      </c>
      <c r="K79" s="42">
        <f t="shared" si="34"/>
        <v>1468661.4</v>
      </c>
      <c r="L79" s="42">
        <f t="shared" si="34"/>
        <v>1901382.2000000002</v>
      </c>
      <c r="M79" s="42">
        <f t="shared" si="34"/>
        <v>0</v>
      </c>
      <c r="N79" s="42">
        <f t="shared" si="34"/>
        <v>1901382.2000000002</v>
      </c>
      <c r="O79" s="42">
        <f t="shared" si="34"/>
        <v>1206382.2000000002</v>
      </c>
      <c r="P79" s="42">
        <f t="shared" si="34"/>
        <v>0</v>
      </c>
      <c r="Q79" s="42">
        <f t="shared" si="34"/>
        <v>1206382.2000000002</v>
      </c>
    </row>
    <row r="80" spans="1:17" x14ac:dyDescent="0.25">
      <c r="A80" s="53" t="s">
        <v>165</v>
      </c>
      <c r="B80" s="54" t="s">
        <v>397</v>
      </c>
      <c r="C80" s="55" t="s">
        <v>155</v>
      </c>
      <c r="D80" s="55" t="s">
        <v>222</v>
      </c>
      <c r="E80" s="55" t="s">
        <v>225</v>
      </c>
      <c r="F80" s="47"/>
      <c r="G80" s="42">
        <f>G81+G83+G86</f>
        <v>1901382.2000000002</v>
      </c>
      <c r="H80" s="42">
        <f>H81+H83+H86</f>
        <v>77798.100000000006</v>
      </c>
      <c r="I80" s="42">
        <f>I81+I83+I86</f>
        <v>1979180.3</v>
      </c>
      <c r="J80" s="42">
        <f>J81+J83+J86</f>
        <v>-510518.9</v>
      </c>
      <c r="K80" s="42">
        <f>K81+K83+K86</f>
        <v>1468661.4</v>
      </c>
      <c r="L80" s="42">
        <f t="shared" ref="L80:O80" si="35">L81+L83+L86</f>
        <v>1901382.2000000002</v>
      </c>
      <c r="M80" s="42">
        <f>M81+M83+M86</f>
        <v>0</v>
      </c>
      <c r="N80" s="42">
        <f>N81+N83+N86</f>
        <v>1901382.2000000002</v>
      </c>
      <c r="O80" s="42">
        <f t="shared" si="35"/>
        <v>1206382.2000000002</v>
      </c>
      <c r="P80" s="42">
        <f>P81+P83+P86</f>
        <v>0</v>
      </c>
      <c r="Q80" s="42">
        <f>Q81+Q83+Q86</f>
        <v>1206382.2000000002</v>
      </c>
    </row>
    <row r="81" spans="1:17" x14ac:dyDescent="0.25">
      <c r="A81" s="57" t="s">
        <v>226</v>
      </c>
      <c r="B81" s="58" t="s">
        <v>397</v>
      </c>
      <c r="C81" s="46" t="s">
        <v>155</v>
      </c>
      <c r="D81" s="46" t="s">
        <v>222</v>
      </c>
      <c r="E81" s="46" t="s">
        <v>227</v>
      </c>
      <c r="F81" s="125"/>
      <c r="G81" s="43">
        <f>G82</f>
        <v>695000</v>
      </c>
      <c r="H81" s="43">
        <f>H82</f>
        <v>41000</v>
      </c>
      <c r="I81" s="43">
        <f>I82</f>
        <v>736000</v>
      </c>
      <c r="J81" s="43">
        <f>J82</f>
        <v>0</v>
      </c>
      <c r="K81" s="43">
        <f>K82</f>
        <v>736000</v>
      </c>
      <c r="L81" s="43">
        <f t="shared" ref="L81:O81" si="36">L82</f>
        <v>695000</v>
      </c>
      <c r="M81" s="43">
        <f>M82</f>
        <v>0</v>
      </c>
      <c r="N81" s="43">
        <f>N82</f>
        <v>695000</v>
      </c>
      <c r="O81" s="43">
        <f t="shared" si="36"/>
        <v>0</v>
      </c>
      <c r="P81" s="43">
        <f>P82</f>
        <v>0</v>
      </c>
      <c r="Q81" s="43">
        <f>Q82</f>
        <v>0</v>
      </c>
    </row>
    <row r="82" spans="1:17" ht="30" x14ac:dyDescent="0.25">
      <c r="A82" s="96" t="s">
        <v>153</v>
      </c>
      <c r="B82" s="56" t="s">
        <v>397</v>
      </c>
      <c r="C82" s="47" t="s">
        <v>155</v>
      </c>
      <c r="D82" s="47" t="s">
        <v>222</v>
      </c>
      <c r="E82" s="47" t="s">
        <v>227</v>
      </c>
      <c r="F82" s="47">
        <v>200</v>
      </c>
      <c r="G82" s="51">
        <v>695000</v>
      </c>
      <c r="H82" s="51">
        <f>38950+2050</f>
        <v>41000</v>
      </c>
      <c r="I82" s="103">
        <f>G82+H82</f>
        <v>736000</v>
      </c>
      <c r="J82" s="51">
        <v>0</v>
      </c>
      <c r="K82" s="103">
        <f>I82+J82</f>
        <v>736000</v>
      </c>
      <c r="L82" s="51">
        <v>695000</v>
      </c>
      <c r="M82" s="51">
        <v>0</v>
      </c>
      <c r="N82" s="103">
        <f>L82+M82</f>
        <v>695000</v>
      </c>
      <c r="O82" s="51">
        <v>0</v>
      </c>
      <c r="P82" s="51">
        <v>0</v>
      </c>
      <c r="Q82" s="103">
        <f>O82+P82</f>
        <v>0</v>
      </c>
    </row>
    <row r="83" spans="1:17" ht="27" x14ac:dyDescent="0.25">
      <c r="A83" s="57" t="s">
        <v>228</v>
      </c>
      <c r="B83" s="58" t="s">
        <v>397</v>
      </c>
      <c r="C83" s="46" t="s">
        <v>155</v>
      </c>
      <c r="D83" s="46" t="s">
        <v>222</v>
      </c>
      <c r="E83" s="46" t="s">
        <v>229</v>
      </c>
      <c r="F83" s="55"/>
      <c r="G83" s="43">
        <f t="shared" ref="G83:Q83" si="37">G84+G85</f>
        <v>829479.20000000007</v>
      </c>
      <c r="H83" s="43">
        <f t="shared" si="37"/>
        <v>36798.1</v>
      </c>
      <c r="I83" s="43">
        <f t="shared" si="37"/>
        <v>866277.3</v>
      </c>
      <c r="J83" s="43">
        <f t="shared" si="37"/>
        <v>-250655.9</v>
      </c>
      <c r="K83" s="43">
        <f t="shared" si="37"/>
        <v>615621.4</v>
      </c>
      <c r="L83" s="43">
        <f t="shared" si="37"/>
        <v>829479.20000000007</v>
      </c>
      <c r="M83" s="43">
        <f t="shared" si="37"/>
        <v>0</v>
      </c>
      <c r="N83" s="43">
        <f t="shared" si="37"/>
        <v>829479.20000000007</v>
      </c>
      <c r="O83" s="43">
        <f t="shared" si="37"/>
        <v>829479.20000000007</v>
      </c>
      <c r="P83" s="43">
        <f t="shared" si="37"/>
        <v>0</v>
      </c>
      <c r="Q83" s="43">
        <f t="shared" si="37"/>
        <v>829479.20000000007</v>
      </c>
    </row>
    <row r="84" spans="1:17" ht="30" x14ac:dyDescent="0.25">
      <c r="A84" s="96" t="s">
        <v>153</v>
      </c>
      <c r="B84" s="54" t="s">
        <v>397</v>
      </c>
      <c r="C84" s="55" t="s">
        <v>155</v>
      </c>
      <c r="D84" s="55" t="s">
        <v>222</v>
      </c>
      <c r="E84" s="47" t="s">
        <v>229</v>
      </c>
      <c r="F84" s="47">
        <v>200</v>
      </c>
      <c r="G84" s="51">
        <v>729458.28</v>
      </c>
      <c r="H84" s="51">
        <v>36798.1</v>
      </c>
      <c r="I84" s="103">
        <f>G84+H84</f>
        <v>766256.38</v>
      </c>
      <c r="J84" s="51">
        <f>'По разделам 4'!I92</f>
        <v>-217500</v>
      </c>
      <c r="K84" s="103">
        <f>I84+J84</f>
        <v>548756.38</v>
      </c>
      <c r="L84" s="51">
        <v>729458.28</v>
      </c>
      <c r="M84" s="51">
        <v>0</v>
      </c>
      <c r="N84" s="103">
        <f>L84+M84</f>
        <v>729458.28</v>
      </c>
      <c r="O84" s="51">
        <v>729458.28</v>
      </c>
      <c r="P84" s="51">
        <v>0</v>
      </c>
      <c r="Q84" s="103">
        <f>O84+P84</f>
        <v>729458.28</v>
      </c>
    </row>
    <row r="85" spans="1:17" ht="15" customHeight="1" x14ac:dyDescent="0.25">
      <c r="A85" s="52" t="s">
        <v>220</v>
      </c>
      <c r="B85" s="54" t="s">
        <v>397</v>
      </c>
      <c r="C85" s="55" t="s">
        <v>155</v>
      </c>
      <c r="D85" s="55" t="s">
        <v>222</v>
      </c>
      <c r="E85" s="47" t="s">
        <v>229</v>
      </c>
      <c r="F85" s="47">
        <v>300</v>
      </c>
      <c r="G85" s="51">
        <v>100020.92</v>
      </c>
      <c r="H85" s="51">
        <v>0</v>
      </c>
      <c r="I85" s="103">
        <f>G85+H85</f>
        <v>100020.92</v>
      </c>
      <c r="J85" s="51">
        <f>'По разделам 4'!I93</f>
        <v>-33155.9</v>
      </c>
      <c r="K85" s="103">
        <f>I85+J85</f>
        <v>66865.01999999999</v>
      </c>
      <c r="L85" s="51">
        <v>100020.92</v>
      </c>
      <c r="M85" s="51">
        <v>0</v>
      </c>
      <c r="N85" s="103">
        <f>L85+M85</f>
        <v>100020.92</v>
      </c>
      <c r="O85" s="51">
        <v>100020.92</v>
      </c>
      <c r="P85" s="51">
        <v>0</v>
      </c>
      <c r="Q85" s="103">
        <f>O85+P85</f>
        <v>100020.92</v>
      </c>
    </row>
    <row r="86" spans="1:17" ht="27" x14ac:dyDescent="0.25">
      <c r="A86" s="57" t="s">
        <v>230</v>
      </c>
      <c r="B86" s="58" t="s">
        <v>397</v>
      </c>
      <c r="C86" s="46" t="s">
        <v>155</v>
      </c>
      <c r="D86" s="46" t="s">
        <v>222</v>
      </c>
      <c r="E86" s="46" t="s">
        <v>231</v>
      </c>
      <c r="F86" s="46"/>
      <c r="G86" s="43">
        <f>G87+G88+G89</f>
        <v>376903</v>
      </c>
      <c r="H86" s="43">
        <f t="shared" ref="H86:Q86" si="38">H87+H88+H89</f>
        <v>0</v>
      </c>
      <c r="I86" s="43">
        <f t="shared" si="38"/>
        <v>376903</v>
      </c>
      <c r="J86" s="43">
        <f t="shared" si="38"/>
        <v>-259863</v>
      </c>
      <c r="K86" s="43">
        <f t="shared" si="38"/>
        <v>117040</v>
      </c>
      <c r="L86" s="43">
        <f t="shared" si="38"/>
        <v>376903</v>
      </c>
      <c r="M86" s="43">
        <f t="shared" si="38"/>
        <v>0</v>
      </c>
      <c r="N86" s="43">
        <f t="shared" si="38"/>
        <v>376903</v>
      </c>
      <c r="O86" s="43">
        <f t="shared" si="38"/>
        <v>376903</v>
      </c>
      <c r="P86" s="43">
        <f t="shared" si="38"/>
        <v>0</v>
      </c>
      <c r="Q86" s="43">
        <f t="shared" si="38"/>
        <v>376903</v>
      </c>
    </row>
    <row r="87" spans="1:17" x14ac:dyDescent="0.25">
      <c r="A87" s="96" t="s">
        <v>151</v>
      </c>
      <c r="B87" s="56">
        <v>801</v>
      </c>
      <c r="C87" s="56" t="s">
        <v>155</v>
      </c>
      <c r="D87" s="56" t="s">
        <v>222</v>
      </c>
      <c r="E87" s="47" t="s">
        <v>231</v>
      </c>
      <c r="F87" s="97" t="s">
        <v>152</v>
      </c>
      <c r="G87" s="99">
        <v>0</v>
      </c>
      <c r="H87" s="100">
        <v>0</v>
      </c>
      <c r="I87" s="38">
        <f>G87+H87</f>
        <v>0</v>
      </c>
      <c r="J87" s="100">
        <f>'По разделам 4'!I95</f>
        <v>117040</v>
      </c>
      <c r="K87" s="38">
        <f>I87+J87</f>
        <v>117040</v>
      </c>
      <c r="L87" s="99">
        <v>0</v>
      </c>
      <c r="M87" s="100">
        <v>0</v>
      </c>
      <c r="N87" s="38">
        <f>L87+M87</f>
        <v>0</v>
      </c>
      <c r="O87" s="99">
        <v>0</v>
      </c>
      <c r="P87" s="100">
        <v>0</v>
      </c>
      <c r="Q87" s="38">
        <f>O87+P87</f>
        <v>0</v>
      </c>
    </row>
    <row r="88" spans="1:17" ht="30" x14ac:dyDescent="0.25">
      <c r="A88" s="96" t="s">
        <v>153</v>
      </c>
      <c r="B88" s="56">
        <v>801</v>
      </c>
      <c r="C88" s="47" t="s">
        <v>155</v>
      </c>
      <c r="D88" s="47" t="s">
        <v>222</v>
      </c>
      <c r="E88" s="47" t="s">
        <v>231</v>
      </c>
      <c r="F88" s="47">
        <v>200</v>
      </c>
      <c r="G88" s="51">
        <v>376903</v>
      </c>
      <c r="H88" s="51">
        <v>0</v>
      </c>
      <c r="I88" s="103">
        <f>G88+H88</f>
        <v>376903</v>
      </c>
      <c r="J88" s="100">
        <f>'По разделам 4'!I96</f>
        <v>-376903</v>
      </c>
      <c r="K88" s="103">
        <f>I88+J88</f>
        <v>0</v>
      </c>
      <c r="L88" s="51">
        <v>376903</v>
      </c>
      <c r="M88" s="51">
        <v>0</v>
      </c>
      <c r="N88" s="103">
        <f>L88+M88</f>
        <v>376903</v>
      </c>
      <c r="O88" s="51">
        <v>376903</v>
      </c>
      <c r="P88" s="51">
        <v>0</v>
      </c>
      <c r="Q88" s="103">
        <f>O88+P88</f>
        <v>376903</v>
      </c>
    </row>
    <row r="89" spans="1:17" ht="16.5" customHeight="1" x14ac:dyDescent="0.25">
      <c r="A89" s="52" t="s">
        <v>220</v>
      </c>
      <c r="B89" s="56">
        <v>801</v>
      </c>
      <c r="C89" s="47" t="s">
        <v>155</v>
      </c>
      <c r="D89" s="47" t="s">
        <v>222</v>
      </c>
      <c r="E89" s="47" t="s">
        <v>231</v>
      </c>
      <c r="F89" s="47">
        <v>300</v>
      </c>
      <c r="G89" s="51">
        <v>0</v>
      </c>
      <c r="H89" s="51">
        <v>0</v>
      </c>
      <c r="I89" s="103">
        <f>G89+H89</f>
        <v>0</v>
      </c>
      <c r="J89" s="100">
        <f>'По разделам 4'!I97</f>
        <v>0</v>
      </c>
      <c r="K89" s="103">
        <f>I89+J89</f>
        <v>0</v>
      </c>
      <c r="L89" s="51">
        <v>0</v>
      </c>
      <c r="M89" s="51">
        <v>0</v>
      </c>
      <c r="N89" s="103">
        <f>L89+M89</f>
        <v>0</v>
      </c>
      <c r="O89" s="51">
        <v>0</v>
      </c>
      <c r="P89" s="51">
        <v>0</v>
      </c>
      <c r="Q89" s="103">
        <f>O89+P89</f>
        <v>0</v>
      </c>
    </row>
    <row r="90" spans="1:17" x14ac:dyDescent="0.25">
      <c r="A90" s="30" t="s">
        <v>232</v>
      </c>
      <c r="B90" s="31" t="s">
        <v>397</v>
      </c>
      <c r="C90" s="32" t="s">
        <v>162</v>
      </c>
      <c r="D90" s="32" t="s">
        <v>0</v>
      </c>
      <c r="E90" s="32" t="s">
        <v>0</v>
      </c>
      <c r="F90" s="32" t="s">
        <v>0</v>
      </c>
      <c r="G90" s="42">
        <f t="shared" ref="G90:Q90" si="39">G91+G96</f>
        <v>26750683</v>
      </c>
      <c r="H90" s="42">
        <f t="shared" si="39"/>
        <v>1411103.65</v>
      </c>
      <c r="I90" s="42">
        <f t="shared" si="39"/>
        <v>28161786.649999999</v>
      </c>
      <c r="J90" s="42">
        <f t="shared" si="39"/>
        <v>1021415</v>
      </c>
      <c r="K90" s="42">
        <f t="shared" si="39"/>
        <v>29183201.649999999</v>
      </c>
      <c r="L90" s="42">
        <f t="shared" si="39"/>
        <v>29393393</v>
      </c>
      <c r="M90" s="42">
        <f t="shared" si="39"/>
        <v>0</v>
      </c>
      <c r="N90" s="42">
        <f t="shared" si="39"/>
        <v>29393393</v>
      </c>
      <c r="O90" s="42">
        <f t="shared" si="39"/>
        <v>29948420</v>
      </c>
      <c r="P90" s="42">
        <f t="shared" si="39"/>
        <v>0</v>
      </c>
      <c r="Q90" s="42">
        <f t="shared" si="39"/>
        <v>29948420</v>
      </c>
    </row>
    <row r="91" spans="1:17" x14ac:dyDescent="0.25">
      <c r="A91" s="30" t="s">
        <v>239</v>
      </c>
      <c r="B91" s="31" t="s">
        <v>397</v>
      </c>
      <c r="C91" s="32" t="s">
        <v>162</v>
      </c>
      <c r="D91" s="32" t="s">
        <v>240</v>
      </c>
      <c r="E91" s="32" t="s">
        <v>0</v>
      </c>
      <c r="F91" s="32" t="s">
        <v>0</v>
      </c>
      <c r="G91" s="42">
        <f t="shared" ref="G91:Q94" si="40">G92</f>
        <v>25000000</v>
      </c>
      <c r="H91" s="42">
        <f t="shared" si="40"/>
        <v>1411103.65</v>
      </c>
      <c r="I91" s="42">
        <f t="shared" si="40"/>
        <v>26411103.649999999</v>
      </c>
      <c r="J91" s="42">
        <f t="shared" si="40"/>
        <v>21415</v>
      </c>
      <c r="K91" s="42">
        <f t="shared" si="40"/>
        <v>26432518.649999999</v>
      </c>
      <c r="L91" s="42">
        <f t="shared" si="40"/>
        <v>26550000</v>
      </c>
      <c r="M91" s="42">
        <f t="shared" si="40"/>
        <v>0</v>
      </c>
      <c r="N91" s="42">
        <f t="shared" si="40"/>
        <v>26550000</v>
      </c>
      <c r="O91" s="42">
        <f t="shared" si="40"/>
        <v>27612000</v>
      </c>
      <c r="P91" s="42">
        <f t="shared" si="40"/>
        <v>0</v>
      </c>
      <c r="Q91" s="42">
        <f t="shared" si="40"/>
        <v>27612000</v>
      </c>
    </row>
    <row r="92" spans="1:17" x14ac:dyDescent="0.25">
      <c r="A92" s="30" t="s">
        <v>145</v>
      </c>
      <c r="B92" s="31" t="s">
        <v>397</v>
      </c>
      <c r="C92" s="32" t="s">
        <v>162</v>
      </c>
      <c r="D92" s="32" t="s">
        <v>240</v>
      </c>
      <c r="E92" s="32" t="s">
        <v>146</v>
      </c>
      <c r="F92" s="32" t="s">
        <v>0</v>
      </c>
      <c r="G92" s="42">
        <f t="shared" si="40"/>
        <v>25000000</v>
      </c>
      <c r="H92" s="42">
        <f t="shared" si="40"/>
        <v>1411103.65</v>
      </c>
      <c r="I92" s="42">
        <f t="shared" si="40"/>
        <v>26411103.649999999</v>
      </c>
      <c r="J92" s="42">
        <f t="shared" si="40"/>
        <v>21415</v>
      </c>
      <c r="K92" s="42">
        <f t="shared" si="40"/>
        <v>26432518.649999999</v>
      </c>
      <c r="L92" s="42">
        <f t="shared" si="40"/>
        <v>26550000</v>
      </c>
      <c r="M92" s="42">
        <f t="shared" si="40"/>
        <v>0</v>
      </c>
      <c r="N92" s="42">
        <f t="shared" si="40"/>
        <v>26550000</v>
      </c>
      <c r="O92" s="42">
        <f t="shared" si="40"/>
        <v>27612000</v>
      </c>
      <c r="P92" s="42">
        <f t="shared" si="40"/>
        <v>0</v>
      </c>
      <c r="Q92" s="42">
        <f t="shared" si="40"/>
        <v>27612000</v>
      </c>
    </row>
    <row r="93" spans="1:17" x14ac:dyDescent="0.25">
      <c r="A93" s="30" t="s">
        <v>180</v>
      </c>
      <c r="B93" s="31" t="s">
        <v>397</v>
      </c>
      <c r="C93" s="32" t="s">
        <v>162</v>
      </c>
      <c r="D93" s="32" t="s">
        <v>240</v>
      </c>
      <c r="E93" s="32" t="s">
        <v>181</v>
      </c>
      <c r="F93" s="32" t="s">
        <v>0</v>
      </c>
      <c r="G93" s="42">
        <f t="shared" si="40"/>
        <v>25000000</v>
      </c>
      <c r="H93" s="42">
        <f t="shared" si="40"/>
        <v>1411103.65</v>
      </c>
      <c r="I93" s="42">
        <f t="shared" si="40"/>
        <v>26411103.649999999</v>
      </c>
      <c r="J93" s="42">
        <f t="shared" si="40"/>
        <v>21415</v>
      </c>
      <c r="K93" s="42">
        <f t="shared" si="40"/>
        <v>26432518.649999999</v>
      </c>
      <c r="L93" s="42">
        <f t="shared" si="40"/>
        <v>26550000</v>
      </c>
      <c r="M93" s="42">
        <f t="shared" si="40"/>
        <v>0</v>
      </c>
      <c r="N93" s="42">
        <f t="shared" si="40"/>
        <v>26550000</v>
      </c>
      <c r="O93" s="42">
        <f t="shared" si="40"/>
        <v>27612000</v>
      </c>
      <c r="P93" s="42">
        <f t="shared" si="40"/>
        <v>0</v>
      </c>
      <c r="Q93" s="42">
        <f t="shared" si="40"/>
        <v>27612000</v>
      </c>
    </row>
    <row r="94" spans="1:17" x14ac:dyDescent="0.25">
      <c r="A94" s="34" t="s">
        <v>241</v>
      </c>
      <c r="B94" s="35" t="s">
        <v>397</v>
      </c>
      <c r="C94" s="36" t="s">
        <v>162</v>
      </c>
      <c r="D94" s="36" t="s">
        <v>240</v>
      </c>
      <c r="E94" s="36" t="s">
        <v>242</v>
      </c>
      <c r="F94" s="36" t="s">
        <v>0</v>
      </c>
      <c r="G94" s="43">
        <f t="shared" si="40"/>
        <v>25000000</v>
      </c>
      <c r="H94" s="43">
        <f t="shared" si="40"/>
        <v>1411103.65</v>
      </c>
      <c r="I94" s="43">
        <f t="shared" si="40"/>
        <v>26411103.649999999</v>
      </c>
      <c r="J94" s="43">
        <f t="shared" si="40"/>
        <v>21415</v>
      </c>
      <c r="K94" s="43">
        <f t="shared" si="40"/>
        <v>26432518.649999999</v>
      </c>
      <c r="L94" s="43">
        <f t="shared" si="40"/>
        <v>26550000</v>
      </c>
      <c r="M94" s="43">
        <f t="shared" si="40"/>
        <v>0</v>
      </c>
      <c r="N94" s="43">
        <f t="shared" si="40"/>
        <v>26550000</v>
      </c>
      <c r="O94" s="43">
        <f t="shared" si="40"/>
        <v>27612000</v>
      </c>
      <c r="P94" s="43">
        <f t="shared" si="40"/>
        <v>0</v>
      </c>
      <c r="Q94" s="43">
        <f t="shared" si="40"/>
        <v>27612000</v>
      </c>
    </row>
    <row r="95" spans="1:17" ht="30" x14ac:dyDescent="0.25">
      <c r="A95" s="96" t="s">
        <v>153</v>
      </c>
      <c r="B95" s="97" t="s">
        <v>397</v>
      </c>
      <c r="C95" s="98" t="s">
        <v>162</v>
      </c>
      <c r="D95" s="98" t="s">
        <v>240</v>
      </c>
      <c r="E95" s="98" t="s">
        <v>242</v>
      </c>
      <c r="F95" s="98" t="s">
        <v>158</v>
      </c>
      <c r="G95" s="103">
        <v>25000000</v>
      </c>
      <c r="H95" s="103">
        <v>1411103.65</v>
      </c>
      <c r="I95" s="103">
        <f>G95+H95</f>
        <v>26411103.649999999</v>
      </c>
      <c r="J95" s="103">
        <f>'По разделам 4'!I108</f>
        <v>21415</v>
      </c>
      <c r="K95" s="103">
        <f>I95+J95</f>
        <v>26432518.649999999</v>
      </c>
      <c r="L95" s="103">
        <v>26550000</v>
      </c>
      <c r="M95" s="103">
        <v>0</v>
      </c>
      <c r="N95" s="103">
        <f>L95+M95</f>
        <v>26550000</v>
      </c>
      <c r="O95" s="103">
        <v>27612000</v>
      </c>
      <c r="P95" s="103">
        <v>0</v>
      </c>
      <c r="Q95" s="103">
        <f>O95+P95</f>
        <v>27612000</v>
      </c>
    </row>
    <row r="96" spans="1:17" x14ac:dyDescent="0.25">
      <c r="A96" s="30" t="s">
        <v>255</v>
      </c>
      <c r="B96" s="31" t="s">
        <v>397</v>
      </c>
      <c r="C96" s="32" t="s">
        <v>162</v>
      </c>
      <c r="D96" s="32" t="s">
        <v>256</v>
      </c>
      <c r="E96" s="32" t="s">
        <v>0</v>
      </c>
      <c r="F96" s="32" t="s">
        <v>0</v>
      </c>
      <c r="G96" s="42">
        <f t="shared" ref="G96:Q96" si="41">G97+G101+G105</f>
        <v>1750683</v>
      </c>
      <c r="H96" s="42">
        <f t="shared" si="41"/>
        <v>0</v>
      </c>
      <c r="I96" s="42">
        <f t="shared" si="41"/>
        <v>1750683</v>
      </c>
      <c r="J96" s="42">
        <f t="shared" si="41"/>
        <v>1000000</v>
      </c>
      <c r="K96" s="42">
        <f t="shared" si="41"/>
        <v>2750683</v>
      </c>
      <c r="L96" s="42">
        <f t="shared" si="41"/>
        <v>2843393</v>
      </c>
      <c r="M96" s="42">
        <f t="shared" si="41"/>
        <v>0</v>
      </c>
      <c r="N96" s="42">
        <f t="shared" si="41"/>
        <v>2843393</v>
      </c>
      <c r="O96" s="42">
        <f t="shared" si="41"/>
        <v>2336420</v>
      </c>
      <c r="P96" s="42">
        <f t="shared" si="41"/>
        <v>0</v>
      </c>
      <c r="Q96" s="42">
        <f t="shared" si="41"/>
        <v>2336420</v>
      </c>
    </row>
    <row r="97" spans="1:17" hidden="1" outlineLevel="1" x14ac:dyDescent="0.25">
      <c r="A97" s="30" t="s">
        <v>145</v>
      </c>
      <c r="B97" s="31" t="s">
        <v>397</v>
      </c>
      <c r="C97" s="32" t="s">
        <v>162</v>
      </c>
      <c r="D97" s="32" t="s">
        <v>256</v>
      </c>
      <c r="E97" s="32" t="s">
        <v>401</v>
      </c>
      <c r="F97" s="32" t="s">
        <v>0</v>
      </c>
      <c r="G97" s="42">
        <f t="shared" ref="G97:Q99" si="42">G98</f>
        <v>0</v>
      </c>
      <c r="H97" s="42">
        <f t="shared" si="42"/>
        <v>0</v>
      </c>
      <c r="I97" s="42">
        <f t="shared" si="42"/>
        <v>0</v>
      </c>
      <c r="J97" s="42">
        <f t="shared" si="42"/>
        <v>0</v>
      </c>
      <c r="K97" s="42">
        <f t="shared" si="42"/>
        <v>0</v>
      </c>
      <c r="L97" s="42">
        <f t="shared" si="42"/>
        <v>0</v>
      </c>
      <c r="M97" s="42">
        <f t="shared" si="42"/>
        <v>0</v>
      </c>
      <c r="N97" s="42">
        <f t="shared" si="42"/>
        <v>0</v>
      </c>
      <c r="O97" s="42">
        <f>O98</f>
        <v>0</v>
      </c>
      <c r="P97" s="42">
        <f t="shared" si="42"/>
        <v>0</v>
      </c>
      <c r="Q97" s="42">
        <f t="shared" si="42"/>
        <v>0</v>
      </c>
    </row>
    <row r="98" spans="1:17" hidden="1" outlineLevel="1" x14ac:dyDescent="0.25">
      <c r="A98" s="30" t="s">
        <v>180</v>
      </c>
      <c r="B98" s="31" t="s">
        <v>397</v>
      </c>
      <c r="C98" s="32" t="s">
        <v>162</v>
      </c>
      <c r="D98" s="32" t="s">
        <v>256</v>
      </c>
      <c r="E98" s="32" t="s">
        <v>402</v>
      </c>
      <c r="F98" s="32" t="s">
        <v>0</v>
      </c>
      <c r="G98" s="42">
        <f t="shared" si="42"/>
        <v>0</v>
      </c>
      <c r="H98" s="42">
        <f t="shared" si="42"/>
        <v>0</v>
      </c>
      <c r="I98" s="42">
        <f t="shared" si="42"/>
        <v>0</v>
      </c>
      <c r="J98" s="42">
        <f t="shared" si="42"/>
        <v>0</v>
      </c>
      <c r="K98" s="42">
        <f t="shared" si="42"/>
        <v>0</v>
      </c>
      <c r="L98" s="42">
        <f t="shared" si="42"/>
        <v>0</v>
      </c>
      <c r="M98" s="42">
        <f t="shared" si="42"/>
        <v>0</v>
      </c>
      <c r="N98" s="42">
        <f t="shared" si="42"/>
        <v>0</v>
      </c>
      <c r="O98" s="42">
        <f>O99</f>
        <v>0</v>
      </c>
      <c r="P98" s="42">
        <f t="shared" si="42"/>
        <v>0</v>
      </c>
      <c r="Q98" s="42">
        <f t="shared" si="42"/>
        <v>0</v>
      </c>
    </row>
    <row r="99" spans="1:17" hidden="1" outlineLevel="1" x14ac:dyDescent="0.25">
      <c r="A99" s="34" t="s">
        <v>207</v>
      </c>
      <c r="B99" s="35" t="s">
        <v>397</v>
      </c>
      <c r="C99" s="36" t="s">
        <v>162</v>
      </c>
      <c r="D99" s="36" t="s">
        <v>256</v>
      </c>
      <c r="E99" s="36" t="s">
        <v>385</v>
      </c>
      <c r="F99" s="36" t="s">
        <v>0</v>
      </c>
      <c r="G99" s="43">
        <f t="shared" si="42"/>
        <v>0</v>
      </c>
      <c r="H99" s="43">
        <f t="shared" si="42"/>
        <v>0</v>
      </c>
      <c r="I99" s="43">
        <f t="shared" si="42"/>
        <v>0</v>
      </c>
      <c r="J99" s="43">
        <f t="shared" si="42"/>
        <v>0</v>
      </c>
      <c r="K99" s="43">
        <f t="shared" si="42"/>
        <v>0</v>
      </c>
      <c r="L99" s="43">
        <f t="shared" si="42"/>
        <v>0</v>
      </c>
      <c r="M99" s="43">
        <f t="shared" si="42"/>
        <v>0</v>
      </c>
      <c r="N99" s="43">
        <f t="shared" si="42"/>
        <v>0</v>
      </c>
      <c r="O99" s="43">
        <f>O100</f>
        <v>0</v>
      </c>
      <c r="P99" s="43">
        <f t="shared" si="42"/>
        <v>0</v>
      </c>
      <c r="Q99" s="43">
        <f t="shared" si="42"/>
        <v>0</v>
      </c>
    </row>
    <row r="100" spans="1:17" hidden="1" outlineLevel="1" x14ac:dyDescent="0.25">
      <c r="A100" s="96" t="s">
        <v>297</v>
      </c>
      <c r="B100" s="97" t="s">
        <v>397</v>
      </c>
      <c r="C100" s="98" t="s">
        <v>162</v>
      </c>
      <c r="D100" s="98" t="s">
        <v>256</v>
      </c>
      <c r="E100" s="98" t="s">
        <v>385</v>
      </c>
      <c r="F100" s="98">
        <v>600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</row>
    <row r="101" spans="1:17" collapsed="1" x14ac:dyDescent="0.25">
      <c r="A101" s="30" t="s">
        <v>257</v>
      </c>
      <c r="B101" s="31" t="s">
        <v>397</v>
      </c>
      <c r="C101" s="32" t="s">
        <v>162</v>
      </c>
      <c r="D101" s="32" t="s">
        <v>256</v>
      </c>
      <c r="E101" s="32" t="s">
        <v>258</v>
      </c>
      <c r="F101" s="32" t="s">
        <v>0</v>
      </c>
      <c r="G101" s="42">
        <f t="shared" ref="G101:Q103" si="43">G102</f>
        <v>1050683</v>
      </c>
      <c r="H101" s="42">
        <f t="shared" si="43"/>
        <v>0</v>
      </c>
      <c r="I101" s="42">
        <f t="shared" si="43"/>
        <v>1050683</v>
      </c>
      <c r="J101" s="42">
        <f t="shared" si="43"/>
        <v>1000000</v>
      </c>
      <c r="K101" s="42">
        <f t="shared" si="43"/>
        <v>2050683</v>
      </c>
      <c r="L101" s="42">
        <f t="shared" si="43"/>
        <v>2143393</v>
      </c>
      <c r="M101" s="42">
        <f t="shared" si="43"/>
        <v>0</v>
      </c>
      <c r="N101" s="42">
        <f t="shared" si="43"/>
        <v>2143393</v>
      </c>
      <c r="O101" s="42">
        <f t="shared" si="43"/>
        <v>1636420</v>
      </c>
      <c r="P101" s="42">
        <f t="shared" si="43"/>
        <v>0</v>
      </c>
      <c r="Q101" s="42">
        <f t="shared" si="43"/>
        <v>1636420</v>
      </c>
    </row>
    <row r="102" spans="1:17" x14ac:dyDescent="0.25">
      <c r="A102" s="30" t="s">
        <v>165</v>
      </c>
      <c r="B102" s="31" t="s">
        <v>397</v>
      </c>
      <c r="C102" s="32" t="s">
        <v>162</v>
      </c>
      <c r="D102" s="32" t="s">
        <v>256</v>
      </c>
      <c r="E102" s="32" t="s">
        <v>259</v>
      </c>
      <c r="F102" s="32" t="s">
        <v>0</v>
      </c>
      <c r="G102" s="42">
        <f t="shared" si="43"/>
        <v>1050683</v>
      </c>
      <c r="H102" s="42">
        <f t="shared" si="43"/>
        <v>0</v>
      </c>
      <c r="I102" s="42">
        <f t="shared" si="43"/>
        <v>1050683</v>
      </c>
      <c r="J102" s="42">
        <f t="shared" si="43"/>
        <v>1000000</v>
      </c>
      <c r="K102" s="42">
        <f t="shared" si="43"/>
        <v>2050683</v>
      </c>
      <c r="L102" s="42">
        <f t="shared" si="43"/>
        <v>2143393</v>
      </c>
      <c r="M102" s="42">
        <f t="shared" si="43"/>
        <v>0</v>
      </c>
      <c r="N102" s="42">
        <f t="shared" si="43"/>
        <v>2143393</v>
      </c>
      <c r="O102" s="42">
        <f t="shared" si="43"/>
        <v>1636420</v>
      </c>
      <c r="P102" s="42">
        <f t="shared" si="43"/>
        <v>0</v>
      </c>
      <c r="Q102" s="42">
        <f t="shared" si="43"/>
        <v>1636420</v>
      </c>
    </row>
    <row r="103" spans="1:17" ht="27" x14ac:dyDescent="0.25">
      <c r="A103" s="34" t="s">
        <v>260</v>
      </c>
      <c r="B103" s="35" t="s">
        <v>397</v>
      </c>
      <c r="C103" s="36" t="s">
        <v>162</v>
      </c>
      <c r="D103" s="36" t="s">
        <v>256</v>
      </c>
      <c r="E103" s="36" t="s">
        <v>261</v>
      </c>
      <c r="F103" s="36" t="s">
        <v>0</v>
      </c>
      <c r="G103" s="43">
        <f t="shared" si="43"/>
        <v>1050683</v>
      </c>
      <c r="H103" s="43">
        <f t="shared" si="43"/>
        <v>0</v>
      </c>
      <c r="I103" s="43">
        <f t="shared" si="43"/>
        <v>1050683</v>
      </c>
      <c r="J103" s="43">
        <f t="shared" si="43"/>
        <v>1000000</v>
      </c>
      <c r="K103" s="43">
        <f t="shared" si="43"/>
        <v>2050683</v>
      </c>
      <c r="L103" s="43">
        <f t="shared" si="43"/>
        <v>2143393</v>
      </c>
      <c r="M103" s="43">
        <f t="shared" si="43"/>
        <v>0</v>
      </c>
      <c r="N103" s="43">
        <f t="shared" si="43"/>
        <v>2143393</v>
      </c>
      <c r="O103" s="43">
        <f t="shared" si="43"/>
        <v>1636420</v>
      </c>
      <c r="P103" s="43">
        <f t="shared" si="43"/>
        <v>0</v>
      </c>
      <c r="Q103" s="43">
        <f t="shared" si="43"/>
        <v>1636420</v>
      </c>
    </row>
    <row r="104" spans="1:17" ht="30" x14ac:dyDescent="0.25">
      <c r="A104" s="96" t="s">
        <v>153</v>
      </c>
      <c r="B104" s="97" t="s">
        <v>397</v>
      </c>
      <c r="C104" s="98" t="s">
        <v>162</v>
      </c>
      <c r="D104" s="98" t="s">
        <v>256</v>
      </c>
      <c r="E104" s="98" t="s">
        <v>261</v>
      </c>
      <c r="F104" s="98" t="s">
        <v>158</v>
      </c>
      <c r="G104" s="103">
        <v>1050683</v>
      </c>
      <c r="H104" s="103">
        <v>0</v>
      </c>
      <c r="I104" s="103">
        <f>G104+H104</f>
        <v>1050683</v>
      </c>
      <c r="J104" s="103">
        <f>'По разделам 4'!I123</f>
        <v>1000000</v>
      </c>
      <c r="K104" s="103">
        <f>I104+J104</f>
        <v>2050683</v>
      </c>
      <c r="L104" s="103">
        <v>2143393</v>
      </c>
      <c r="M104" s="103">
        <v>0</v>
      </c>
      <c r="N104" s="103">
        <f>L104+M104</f>
        <v>2143393</v>
      </c>
      <c r="O104" s="103">
        <v>1636420</v>
      </c>
      <c r="P104" s="103">
        <v>0</v>
      </c>
      <c r="Q104" s="103">
        <f>O104+P104</f>
        <v>1636420</v>
      </c>
    </row>
    <row r="105" spans="1:17" x14ac:dyDescent="0.25">
      <c r="A105" s="30" t="s">
        <v>262</v>
      </c>
      <c r="B105" s="31" t="s">
        <v>397</v>
      </c>
      <c r="C105" s="32" t="s">
        <v>162</v>
      </c>
      <c r="D105" s="32" t="s">
        <v>256</v>
      </c>
      <c r="E105" s="32" t="s">
        <v>263</v>
      </c>
      <c r="F105" s="32" t="s">
        <v>0</v>
      </c>
      <c r="G105" s="42">
        <f t="shared" ref="G105:Q105" si="44">G106</f>
        <v>700000</v>
      </c>
      <c r="H105" s="42">
        <f t="shared" si="44"/>
        <v>0</v>
      </c>
      <c r="I105" s="42">
        <f t="shared" si="44"/>
        <v>700000</v>
      </c>
      <c r="J105" s="42">
        <f t="shared" si="44"/>
        <v>0</v>
      </c>
      <c r="K105" s="42">
        <f t="shared" si="44"/>
        <v>700000</v>
      </c>
      <c r="L105" s="42">
        <f t="shared" si="44"/>
        <v>700000</v>
      </c>
      <c r="M105" s="42">
        <f t="shared" si="44"/>
        <v>0</v>
      </c>
      <c r="N105" s="42">
        <f t="shared" si="44"/>
        <v>700000</v>
      </c>
      <c r="O105" s="42">
        <f t="shared" si="44"/>
        <v>700000</v>
      </c>
      <c r="P105" s="42">
        <f t="shared" si="44"/>
        <v>0</v>
      </c>
      <c r="Q105" s="42">
        <f t="shared" si="44"/>
        <v>700000</v>
      </c>
    </row>
    <row r="106" spans="1:17" x14ac:dyDescent="0.25">
      <c r="A106" s="30" t="s">
        <v>165</v>
      </c>
      <c r="B106" s="31" t="s">
        <v>397</v>
      </c>
      <c r="C106" s="32" t="s">
        <v>162</v>
      </c>
      <c r="D106" s="32" t="s">
        <v>256</v>
      </c>
      <c r="E106" s="32" t="s">
        <v>264</v>
      </c>
      <c r="F106" s="32" t="s">
        <v>0</v>
      </c>
      <c r="G106" s="42">
        <f t="shared" ref="G106:Q106" si="45">G107+G110</f>
        <v>700000</v>
      </c>
      <c r="H106" s="42">
        <f t="shared" si="45"/>
        <v>0</v>
      </c>
      <c r="I106" s="42">
        <f t="shared" si="45"/>
        <v>700000</v>
      </c>
      <c r="J106" s="42">
        <f t="shared" si="45"/>
        <v>0</v>
      </c>
      <c r="K106" s="42">
        <f t="shared" si="45"/>
        <v>700000</v>
      </c>
      <c r="L106" s="42">
        <f t="shared" si="45"/>
        <v>700000</v>
      </c>
      <c r="M106" s="42">
        <f t="shared" si="45"/>
        <v>0</v>
      </c>
      <c r="N106" s="42">
        <f t="shared" si="45"/>
        <v>700000</v>
      </c>
      <c r="O106" s="42">
        <f t="shared" si="45"/>
        <v>700000</v>
      </c>
      <c r="P106" s="42">
        <f t="shared" si="45"/>
        <v>0</v>
      </c>
      <c r="Q106" s="42">
        <f t="shared" si="45"/>
        <v>700000</v>
      </c>
    </row>
    <row r="107" spans="1:17" ht="13.5" customHeight="1" x14ac:dyDescent="0.25">
      <c r="A107" s="34" t="s">
        <v>265</v>
      </c>
      <c r="B107" s="35" t="s">
        <v>397</v>
      </c>
      <c r="C107" s="36" t="s">
        <v>162</v>
      </c>
      <c r="D107" s="36" t="s">
        <v>256</v>
      </c>
      <c r="E107" s="36" t="s">
        <v>266</v>
      </c>
      <c r="F107" s="36" t="s">
        <v>0</v>
      </c>
      <c r="G107" s="43">
        <f t="shared" ref="G107:Q107" si="46">G108+G109</f>
        <v>500000</v>
      </c>
      <c r="H107" s="43">
        <f t="shared" si="46"/>
        <v>0</v>
      </c>
      <c r="I107" s="43">
        <f t="shared" si="46"/>
        <v>500000</v>
      </c>
      <c r="J107" s="43">
        <f t="shared" si="46"/>
        <v>0</v>
      </c>
      <c r="K107" s="43">
        <f t="shared" si="46"/>
        <v>500000</v>
      </c>
      <c r="L107" s="43">
        <f t="shared" si="46"/>
        <v>500000</v>
      </c>
      <c r="M107" s="43">
        <f t="shared" si="46"/>
        <v>0</v>
      </c>
      <c r="N107" s="43">
        <f t="shared" si="46"/>
        <v>500000</v>
      </c>
      <c r="O107" s="43">
        <f t="shared" si="46"/>
        <v>500000</v>
      </c>
      <c r="P107" s="43">
        <f t="shared" si="46"/>
        <v>0</v>
      </c>
      <c r="Q107" s="43">
        <f t="shared" si="46"/>
        <v>500000</v>
      </c>
    </row>
    <row r="108" spans="1:17" ht="30" x14ac:dyDescent="0.25">
      <c r="A108" s="96" t="s">
        <v>153</v>
      </c>
      <c r="B108" s="97" t="s">
        <v>397</v>
      </c>
      <c r="C108" s="98" t="s">
        <v>162</v>
      </c>
      <c r="D108" s="98" t="s">
        <v>256</v>
      </c>
      <c r="E108" s="98" t="s">
        <v>266</v>
      </c>
      <c r="F108" s="98" t="s">
        <v>158</v>
      </c>
      <c r="G108" s="103">
        <v>18000</v>
      </c>
      <c r="H108" s="103">
        <v>0</v>
      </c>
      <c r="I108" s="103">
        <f>G108+H108</f>
        <v>18000</v>
      </c>
      <c r="J108" s="103">
        <v>0</v>
      </c>
      <c r="K108" s="103">
        <f>I108+J108</f>
        <v>18000</v>
      </c>
      <c r="L108" s="103">
        <v>18000</v>
      </c>
      <c r="M108" s="103">
        <v>0</v>
      </c>
      <c r="N108" s="103">
        <f>L108+M108</f>
        <v>18000</v>
      </c>
      <c r="O108" s="103">
        <v>18000</v>
      </c>
      <c r="P108" s="103">
        <v>0</v>
      </c>
      <c r="Q108" s="103">
        <f>O108+P108</f>
        <v>18000</v>
      </c>
    </row>
    <row r="109" spans="1:17" x14ac:dyDescent="0.25">
      <c r="A109" s="96" t="s">
        <v>172</v>
      </c>
      <c r="B109" s="97" t="s">
        <v>397</v>
      </c>
      <c r="C109" s="98" t="s">
        <v>162</v>
      </c>
      <c r="D109" s="98" t="s">
        <v>256</v>
      </c>
      <c r="E109" s="98" t="s">
        <v>266</v>
      </c>
      <c r="F109" s="98" t="s">
        <v>173</v>
      </c>
      <c r="G109" s="103">
        <v>482000</v>
      </c>
      <c r="H109" s="103">
        <v>0</v>
      </c>
      <c r="I109" s="103">
        <f>G109+H109</f>
        <v>482000</v>
      </c>
      <c r="J109" s="103">
        <v>0</v>
      </c>
      <c r="K109" s="103">
        <f>I109+J109</f>
        <v>482000</v>
      </c>
      <c r="L109" s="103">
        <v>482000</v>
      </c>
      <c r="M109" s="103">
        <v>0</v>
      </c>
      <c r="N109" s="103">
        <f>L109+M109</f>
        <v>482000</v>
      </c>
      <c r="O109" s="103">
        <v>482000</v>
      </c>
      <c r="P109" s="103">
        <v>0</v>
      </c>
      <c r="Q109" s="103">
        <f>O109+P109</f>
        <v>482000</v>
      </c>
    </row>
    <row r="110" spans="1:17" ht="27" x14ac:dyDescent="0.25">
      <c r="A110" s="34" t="s">
        <v>267</v>
      </c>
      <c r="B110" s="35" t="s">
        <v>397</v>
      </c>
      <c r="C110" s="36" t="s">
        <v>162</v>
      </c>
      <c r="D110" s="36" t="s">
        <v>256</v>
      </c>
      <c r="E110" s="36" t="s">
        <v>268</v>
      </c>
      <c r="F110" s="36" t="s">
        <v>0</v>
      </c>
      <c r="G110" s="43">
        <f t="shared" ref="G110:Q110" si="47">G111</f>
        <v>200000</v>
      </c>
      <c r="H110" s="43">
        <f t="shared" si="47"/>
        <v>0</v>
      </c>
      <c r="I110" s="43">
        <f t="shared" si="47"/>
        <v>200000</v>
      </c>
      <c r="J110" s="43">
        <f t="shared" si="47"/>
        <v>0</v>
      </c>
      <c r="K110" s="43">
        <f t="shared" si="47"/>
        <v>200000</v>
      </c>
      <c r="L110" s="43">
        <f t="shared" si="47"/>
        <v>200000</v>
      </c>
      <c r="M110" s="43">
        <f t="shared" si="47"/>
        <v>0</v>
      </c>
      <c r="N110" s="43">
        <f t="shared" si="47"/>
        <v>200000</v>
      </c>
      <c r="O110" s="43">
        <f t="shared" si="47"/>
        <v>200000</v>
      </c>
      <c r="P110" s="43">
        <f t="shared" si="47"/>
        <v>0</v>
      </c>
      <c r="Q110" s="43">
        <f t="shared" si="47"/>
        <v>200000</v>
      </c>
    </row>
    <row r="111" spans="1:17" ht="30" x14ac:dyDescent="0.25">
      <c r="A111" s="96" t="s">
        <v>172</v>
      </c>
      <c r="B111" s="97" t="s">
        <v>397</v>
      </c>
      <c r="C111" s="98" t="s">
        <v>162</v>
      </c>
      <c r="D111" s="98" t="s">
        <v>256</v>
      </c>
      <c r="E111" s="98" t="s">
        <v>268</v>
      </c>
      <c r="F111" s="98" t="s">
        <v>173</v>
      </c>
      <c r="G111" s="103">
        <v>200000</v>
      </c>
      <c r="H111" s="103">
        <v>0</v>
      </c>
      <c r="I111" s="103">
        <f>G111+H111</f>
        <v>200000</v>
      </c>
      <c r="J111" s="103">
        <v>0</v>
      </c>
      <c r="K111" s="103">
        <f>I111+J111</f>
        <v>200000</v>
      </c>
      <c r="L111" s="103">
        <v>200000</v>
      </c>
      <c r="M111" s="103">
        <v>0</v>
      </c>
      <c r="N111" s="103">
        <f>L111+M111</f>
        <v>200000</v>
      </c>
      <c r="O111" s="103">
        <v>200000</v>
      </c>
      <c r="P111" s="103">
        <v>0</v>
      </c>
      <c r="Q111" s="103">
        <f>O111+P111</f>
        <v>200000</v>
      </c>
    </row>
    <row r="112" spans="1:17" x14ac:dyDescent="0.25">
      <c r="A112" s="30" t="s">
        <v>269</v>
      </c>
      <c r="B112" s="31" t="s">
        <v>397</v>
      </c>
      <c r="C112" s="32" t="s">
        <v>234</v>
      </c>
      <c r="D112" s="32" t="s">
        <v>0</v>
      </c>
      <c r="E112" s="32" t="s">
        <v>0</v>
      </c>
      <c r="F112" s="32" t="s">
        <v>0</v>
      </c>
      <c r="G112" s="42">
        <f t="shared" ref="G112:Q112" si="48">G113+G120</f>
        <v>26352215.489999998</v>
      </c>
      <c r="H112" s="42">
        <f t="shared" si="48"/>
        <v>193024803.06</v>
      </c>
      <c r="I112" s="42">
        <f t="shared" si="48"/>
        <v>219377018.55000001</v>
      </c>
      <c r="J112" s="42">
        <f t="shared" si="48"/>
        <v>-27223859.760000002</v>
      </c>
      <c r="K112" s="42">
        <f t="shared" si="48"/>
        <v>192153158.78999999</v>
      </c>
      <c r="L112" s="42">
        <f t="shared" si="48"/>
        <v>0</v>
      </c>
      <c r="M112" s="42">
        <f t="shared" si="48"/>
        <v>0</v>
      </c>
      <c r="N112" s="42">
        <f t="shared" si="48"/>
        <v>0</v>
      </c>
      <c r="O112" s="42">
        <f t="shared" si="48"/>
        <v>0</v>
      </c>
      <c r="P112" s="42">
        <f t="shared" si="48"/>
        <v>0</v>
      </c>
      <c r="Q112" s="42">
        <f t="shared" si="48"/>
        <v>0</v>
      </c>
    </row>
    <row r="113" spans="1:17" x14ac:dyDescent="0.25">
      <c r="A113" s="30" t="s">
        <v>270</v>
      </c>
      <c r="B113" s="31" t="s">
        <v>397</v>
      </c>
      <c r="C113" s="32" t="s">
        <v>234</v>
      </c>
      <c r="D113" s="32" t="s">
        <v>142</v>
      </c>
      <c r="E113" s="32" t="s">
        <v>0</v>
      </c>
      <c r="F113" s="32" t="s">
        <v>0</v>
      </c>
      <c r="G113" s="42">
        <f t="shared" ref="G113:Q115" si="49">G114</f>
        <v>26352215.489999998</v>
      </c>
      <c r="H113" s="42">
        <f t="shared" si="49"/>
        <v>163318040.66</v>
      </c>
      <c r="I113" s="42">
        <f t="shared" si="49"/>
        <v>189670256.15000001</v>
      </c>
      <c r="J113" s="42">
        <f t="shared" si="49"/>
        <v>340666.69</v>
      </c>
      <c r="K113" s="42">
        <f t="shared" si="49"/>
        <v>190010922.84</v>
      </c>
      <c r="L113" s="42">
        <f t="shared" si="49"/>
        <v>0</v>
      </c>
      <c r="M113" s="42">
        <f t="shared" si="49"/>
        <v>0</v>
      </c>
      <c r="N113" s="42">
        <f t="shared" si="49"/>
        <v>0</v>
      </c>
      <c r="O113" s="42">
        <f t="shared" si="49"/>
        <v>0</v>
      </c>
      <c r="P113" s="42">
        <f t="shared" si="49"/>
        <v>0</v>
      </c>
      <c r="Q113" s="42">
        <f t="shared" si="49"/>
        <v>0</v>
      </c>
    </row>
    <row r="114" spans="1:17" x14ac:dyDescent="0.25">
      <c r="A114" s="30" t="s">
        <v>257</v>
      </c>
      <c r="B114" s="31" t="s">
        <v>397</v>
      </c>
      <c r="C114" s="32" t="s">
        <v>234</v>
      </c>
      <c r="D114" s="32" t="s">
        <v>142</v>
      </c>
      <c r="E114" s="32" t="s">
        <v>258</v>
      </c>
      <c r="F114" s="32" t="s">
        <v>0</v>
      </c>
      <c r="G114" s="42">
        <f t="shared" si="49"/>
        <v>26352215.489999998</v>
      </c>
      <c r="H114" s="42">
        <f t="shared" si="49"/>
        <v>163318040.66</v>
      </c>
      <c r="I114" s="42">
        <f t="shared" si="49"/>
        <v>189670256.15000001</v>
      </c>
      <c r="J114" s="42">
        <f t="shared" si="49"/>
        <v>340666.69</v>
      </c>
      <c r="K114" s="42">
        <f t="shared" si="49"/>
        <v>190010922.84</v>
      </c>
      <c r="L114" s="42">
        <f t="shared" si="49"/>
        <v>0</v>
      </c>
      <c r="M114" s="42">
        <f t="shared" si="49"/>
        <v>0</v>
      </c>
      <c r="N114" s="42">
        <f t="shared" si="49"/>
        <v>0</v>
      </c>
      <c r="O114" s="42">
        <f t="shared" si="49"/>
        <v>0</v>
      </c>
      <c r="P114" s="42">
        <f t="shared" si="49"/>
        <v>0</v>
      </c>
      <c r="Q114" s="42">
        <f t="shared" si="49"/>
        <v>0</v>
      </c>
    </row>
    <row r="115" spans="1:17" x14ac:dyDescent="0.25">
      <c r="A115" s="30" t="s">
        <v>165</v>
      </c>
      <c r="B115" s="31" t="s">
        <v>397</v>
      </c>
      <c r="C115" s="32" t="s">
        <v>234</v>
      </c>
      <c r="D115" s="32" t="s">
        <v>142</v>
      </c>
      <c r="E115" s="32" t="s">
        <v>259</v>
      </c>
      <c r="F115" s="32" t="s">
        <v>0</v>
      </c>
      <c r="G115" s="42">
        <f>G116</f>
        <v>26352215.489999998</v>
      </c>
      <c r="H115" s="42">
        <f>H116</f>
        <v>163318040.66</v>
      </c>
      <c r="I115" s="42">
        <f>I116</f>
        <v>189670256.15000001</v>
      </c>
      <c r="J115" s="42">
        <f>J116</f>
        <v>340666.69</v>
      </c>
      <c r="K115" s="42">
        <f>K116</f>
        <v>190010922.84</v>
      </c>
      <c r="L115" s="42">
        <f t="shared" si="49"/>
        <v>0</v>
      </c>
      <c r="M115" s="42">
        <f>M116</f>
        <v>0</v>
      </c>
      <c r="N115" s="42">
        <f>N116</f>
        <v>0</v>
      </c>
      <c r="O115" s="42">
        <f t="shared" si="49"/>
        <v>0</v>
      </c>
      <c r="P115" s="42">
        <f>P116</f>
        <v>0</v>
      </c>
      <c r="Q115" s="42">
        <f>Q116</f>
        <v>0</v>
      </c>
    </row>
    <row r="116" spans="1:17" x14ac:dyDescent="0.25">
      <c r="A116" s="34" t="s">
        <v>273</v>
      </c>
      <c r="B116" s="35" t="s">
        <v>397</v>
      </c>
      <c r="C116" s="36" t="s">
        <v>234</v>
      </c>
      <c r="D116" s="36" t="s">
        <v>142</v>
      </c>
      <c r="E116" s="36" t="s">
        <v>274</v>
      </c>
      <c r="F116" s="36" t="s">
        <v>0</v>
      </c>
      <c r="G116" s="43">
        <f t="shared" ref="G116:Q116" si="50">G117+G118+G119</f>
        <v>26352215.489999998</v>
      </c>
      <c r="H116" s="43">
        <f t="shared" si="50"/>
        <v>163318040.66</v>
      </c>
      <c r="I116" s="43">
        <f t="shared" si="50"/>
        <v>189670256.15000001</v>
      </c>
      <c r="J116" s="43">
        <f t="shared" si="50"/>
        <v>340666.69</v>
      </c>
      <c r="K116" s="43">
        <f t="shared" si="50"/>
        <v>190010922.84</v>
      </c>
      <c r="L116" s="43">
        <f t="shared" si="50"/>
        <v>0</v>
      </c>
      <c r="M116" s="43">
        <f t="shared" si="50"/>
        <v>0</v>
      </c>
      <c r="N116" s="43">
        <f t="shared" si="50"/>
        <v>0</v>
      </c>
      <c r="O116" s="43">
        <f t="shared" si="50"/>
        <v>0</v>
      </c>
      <c r="P116" s="43">
        <f t="shared" si="50"/>
        <v>0</v>
      </c>
      <c r="Q116" s="43">
        <f t="shared" si="50"/>
        <v>0</v>
      </c>
    </row>
    <row r="117" spans="1:17" ht="30" x14ac:dyDescent="0.25">
      <c r="A117" s="96" t="s">
        <v>153</v>
      </c>
      <c r="B117" s="97" t="s">
        <v>397</v>
      </c>
      <c r="C117" s="98" t="s">
        <v>234</v>
      </c>
      <c r="D117" s="98" t="s">
        <v>142</v>
      </c>
      <c r="E117" s="50" t="s">
        <v>274</v>
      </c>
      <c r="F117" s="98" t="s">
        <v>158</v>
      </c>
      <c r="G117" s="103">
        <v>0</v>
      </c>
      <c r="H117" s="103">
        <f>60000+60000</f>
        <v>120000</v>
      </c>
      <c r="I117" s="103">
        <f>G117+H117</f>
        <v>120000</v>
      </c>
      <c r="J117" s="103">
        <v>340666.69</v>
      </c>
      <c r="K117" s="103">
        <f>I117+J117</f>
        <v>460666.69</v>
      </c>
      <c r="L117" s="103">
        <v>0</v>
      </c>
      <c r="M117" s="103">
        <v>0</v>
      </c>
      <c r="N117" s="103">
        <f>L117+M117</f>
        <v>0</v>
      </c>
      <c r="O117" s="103">
        <v>0</v>
      </c>
      <c r="P117" s="103">
        <v>0</v>
      </c>
      <c r="Q117" s="103">
        <f>O117+P117</f>
        <v>0</v>
      </c>
    </row>
    <row r="118" spans="1:17" ht="14.1" customHeight="1" x14ac:dyDescent="0.25">
      <c r="A118" s="96" t="s">
        <v>169</v>
      </c>
      <c r="B118" s="97" t="s">
        <v>397</v>
      </c>
      <c r="C118" s="98" t="s">
        <v>234</v>
      </c>
      <c r="D118" s="98" t="s">
        <v>142</v>
      </c>
      <c r="E118" s="50" t="s">
        <v>274</v>
      </c>
      <c r="F118" s="98" t="s">
        <v>171</v>
      </c>
      <c r="G118" s="103">
        <f>25000000+2929330-1577114.51</f>
        <v>26352215.489999998</v>
      </c>
      <c r="H118" s="103">
        <f>121042023+42156017.66</f>
        <v>163198040.66</v>
      </c>
      <c r="I118" s="103">
        <f>G118+H118</f>
        <v>189550256.15000001</v>
      </c>
      <c r="J118" s="103">
        <v>0</v>
      </c>
      <c r="K118" s="103">
        <f>I118+J118</f>
        <v>189550256.15000001</v>
      </c>
      <c r="L118" s="103">
        <v>0</v>
      </c>
      <c r="M118" s="103">
        <v>0</v>
      </c>
      <c r="N118" s="103">
        <f>L118+M118</f>
        <v>0</v>
      </c>
      <c r="O118" s="103">
        <v>0</v>
      </c>
      <c r="P118" s="103">
        <v>0</v>
      </c>
      <c r="Q118" s="103">
        <f>O118+P118</f>
        <v>0</v>
      </c>
    </row>
    <row r="119" spans="1:17" ht="12" hidden="1" customHeight="1" x14ac:dyDescent="0.25">
      <c r="A119" s="96" t="s">
        <v>172</v>
      </c>
      <c r="B119" s="97" t="s">
        <v>397</v>
      </c>
      <c r="C119" s="98" t="s">
        <v>234</v>
      </c>
      <c r="D119" s="98" t="s">
        <v>142</v>
      </c>
      <c r="E119" s="50" t="s">
        <v>274</v>
      </c>
      <c r="F119" s="98" t="s">
        <v>173</v>
      </c>
      <c r="G119" s="103">
        <v>0</v>
      </c>
      <c r="H119" s="103">
        <v>0</v>
      </c>
      <c r="I119" s="103">
        <v>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</row>
    <row r="120" spans="1:17" ht="14.25" hidden="1" customHeight="1" x14ac:dyDescent="0.25">
      <c r="A120" s="60" t="s">
        <v>287</v>
      </c>
      <c r="B120" s="31" t="s">
        <v>397</v>
      </c>
      <c r="C120" s="32" t="s">
        <v>234</v>
      </c>
      <c r="D120" s="32" t="s">
        <v>155</v>
      </c>
      <c r="E120" s="32" t="s">
        <v>0</v>
      </c>
      <c r="F120" s="32" t="s">
        <v>0</v>
      </c>
      <c r="G120" s="42">
        <f t="shared" ref="G120:Q124" si="51">G121</f>
        <v>0</v>
      </c>
      <c r="H120" s="42">
        <f t="shared" si="51"/>
        <v>29706762.399999999</v>
      </c>
      <c r="I120" s="42">
        <f t="shared" si="51"/>
        <v>29706762.399999999</v>
      </c>
      <c r="J120" s="42">
        <f t="shared" si="51"/>
        <v>-27564526.450000003</v>
      </c>
      <c r="K120" s="42">
        <f t="shared" si="51"/>
        <v>2142235.9499999955</v>
      </c>
      <c r="L120" s="42">
        <f t="shared" si="51"/>
        <v>0</v>
      </c>
      <c r="M120" s="42">
        <f t="shared" si="51"/>
        <v>0</v>
      </c>
      <c r="N120" s="42">
        <f t="shared" si="51"/>
        <v>0</v>
      </c>
      <c r="O120" s="42">
        <f t="shared" si="51"/>
        <v>0</v>
      </c>
      <c r="P120" s="42">
        <f t="shared" si="51"/>
        <v>0</v>
      </c>
      <c r="Q120" s="42">
        <f t="shared" si="51"/>
        <v>0</v>
      </c>
    </row>
    <row r="121" spans="1:17" outlineLevel="1" x14ac:dyDescent="0.25">
      <c r="A121" s="30" t="s">
        <v>287</v>
      </c>
      <c r="B121" s="31" t="s">
        <v>397</v>
      </c>
      <c r="C121" s="32" t="s">
        <v>234</v>
      </c>
      <c r="D121" s="32" t="s">
        <v>155</v>
      </c>
      <c r="E121" s="32"/>
      <c r="F121" s="32" t="s">
        <v>0</v>
      </c>
      <c r="G121" s="42">
        <f>G122</f>
        <v>0</v>
      </c>
      <c r="H121" s="42">
        <f>H122</f>
        <v>29706762.399999999</v>
      </c>
      <c r="I121" s="42">
        <f>I122</f>
        <v>29706762.399999999</v>
      </c>
      <c r="J121" s="42">
        <f>J122</f>
        <v>-27564526.450000003</v>
      </c>
      <c r="K121" s="42">
        <f>K122</f>
        <v>2142235.9499999955</v>
      </c>
      <c r="L121" s="42">
        <f t="shared" si="51"/>
        <v>0</v>
      </c>
      <c r="M121" s="42">
        <f>M122</f>
        <v>0</v>
      </c>
      <c r="N121" s="42">
        <f>N122</f>
        <v>0</v>
      </c>
      <c r="O121" s="42">
        <f t="shared" si="51"/>
        <v>0</v>
      </c>
      <c r="P121" s="42">
        <f>P122</f>
        <v>0</v>
      </c>
      <c r="Q121" s="42">
        <f>Q122</f>
        <v>0</v>
      </c>
    </row>
    <row r="122" spans="1:17" ht="25.5" outlineLevel="1" x14ac:dyDescent="0.25">
      <c r="A122" s="30" t="s">
        <v>250</v>
      </c>
      <c r="B122" s="31" t="s">
        <v>397</v>
      </c>
      <c r="C122" s="32" t="s">
        <v>234</v>
      </c>
      <c r="D122" s="32" t="s">
        <v>155</v>
      </c>
      <c r="E122" s="32" t="s">
        <v>251</v>
      </c>
      <c r="F122" s="32" t="s">
        <v>0</v>
      </c>
      <c r="G122" s="42">
        <f t="shared" si="51"/>
        <v>0</v>
      </c>
      <c r="H122" s="42">
        <f t="shared" si="51"/>
        <v>29706762.399999999</v>
      </c>
      <c r="I122" s="42">
        <f t="shared" si="51"/>
        <v>29706762.399999999</v>
      </c>
      <c r="J122" s="42">
        <f t="shared" si="51"/>
        <v>-27564526.450000003</v>
      </c>
      <c r="K122" s="42">
        <f t="shared" si="51"/>
        <v>2142235.9499999955</v>
      </c>
      <c r="L122" s="42">
        <f t="shared" si="51"/>
        <v>0</v>
      </c>
      <c r="M122" s="42">
        <f t="shared" si="51"/>
        <v>0</v>
      </c>
      <c r="N122" s="42">
        <f t="shared" si="51"/>
        <v>0</v>
      </c>
      <c r="O122" s="42">
        <f t="shared" si="51"/>
        <v>0</v>
      </c>
      <c r="P122" s="42">
        <f t="shared" si="51"/>
        <v>0</v>
      </c>
      <c r="Q122" s="42">
        <f t="shared" si="51"/>
        <v>0</v>
      </c>
    </row>
    <row r="123" spans="1:17" ht="15" customHeight="1" outlineLevel="1" x14ac:dyDescent="0.25">
      <c r="A123" s="30" t="s">
        <v>165</v>
      </c>
      <c r="B123" s="31" t="s">
        <v>397</v>
      </c>
      <c r="C123" s="32" t="s">
        <v>234</v>
      </c>
      <c r="D123" s="32" t="s">
        <v>155</v>
      </c>
      <c r="E123" s="32" t="s">
        <v>252</v>
      </c>
      <c r="F123" s="36" t="s">
        <v>0</v>
      </c>
      <c r="G123" s="43">
        <f t="shared" si="51"/>
        <v>0</v>
      </c>
      <c r="H123" s="43">
        <f t="shared" si="51"/>
        <v>29706762.399999999</v>
      </c>
      <c r="I123" s="43">
        <f t="shared" si="51"/>
        <v>29706762.399999999</v>
      </c>
      <c r="J123" s="43">
        <f t="shared" si="51"/>
        <v>-27564526.450000003</v>
      </c>
      <c r="K123" s="43">
        <f t="shared" si="51"/>
        <v>2142235.9499999955</v>
      </c>
      <c r="L123" s="37">
        <f>L125</f>
        <v>0</v>
      </c>
      <c r="M123" s="43">
        <f t="shared" si="51"/>
        <v>0</v>
      </c>
      <c r="N123" s="43">
        <f t="shared" si="51"/>
        <v>0</v>
      </c>
      <c r="O123" s="37">
        <f>O125</f>
        <v>0</v>
      </c>
      <c r="P123" s="43">
        <f t="shared" si="51"/>
        <v>0</v>
      </c>
      <c r="Q123" s="43">
        <f t="shared" si="51"/>
        <v>0</v>
      </c>
    </row>
    <row r="124" spans="1:17" ht="15" customHeight="1" outlineLevel="1" x14ac:dyDescent="0.25">
      <c r="A124" s="34" t="s">
        <v>303</v>
      </c>
      <c r="B124" s="35" t="s">
        <v>397</v>
      </c>
      <c r="C124" s="36" t="s">
        <v>234</v>
      </c>
      <c r="D124" s="36" t="s">
        <v>155</v>
      </c>
      <c r="E124" s="36" t="s">
        <v>304</v>
      </c>
      <c r="F124" s="36"/>
      <c r="G124" s="43">
        <f t="shared" si="51"/>
        <v>0</v>
      </c>
      <c r="H124" s="43">
        <f t="shared" si="51"/>
        <v>29706762.399999999</v>
      </c>
      <c r="I124" s="43">
        <f t="shared" si="51"/>
        <v>29706762.399999999</v>
      </c>
      <c r="J124" s="43">
        <f t="shared" si="51"/>
        <v>-27564526.450000003</v>
      </c>
      <c r="K124" s="43">
        <f t="shared" si="51"/>
        <v>2142235.9499999955</v>
      </c>
      <c r="L124" s="37"/>
      <c r="M124" s="43">
        <f t="shared" si="51"/>
        <v>0</v>
      </c>
      <c r="N124" s="43">
        <f t="shared" si="51"/>
        <v>0</v>
      </c>
      <c r="O124" s="37"/>
      <c r="P124" s="43">
        <f t="shared" si="51"/>
        <v>0</v>
      </c>
      <c r="Q124" s="43">
        <f t="shared" si="51"/>
        <v>0</v>
      </c>
    </row>
    <row r="125" spans="1:17" ht="30" outlineLevel="1" x14ac:dyDescent="0.25">
      <c r="A125" s="105" t="s">
        <v>305</v>
      </c>
      <c r="B125" s="98" t="s">
        <v>397</v>
      </c>
      <c r="C125" s="98" t="s">
        <v>234</v>
      </c>
      <c r="D125" s="98" t="s">
        <v>155</v>
      </c>
      <c r="E125" s="98" t="s">
        <v>304</v>
      </c>
      <c r="F125" s="98">
        <v>600</v>
      </c>
      <c r="G125" s="103">
        <v>0</v>
      </c>
      <c r="H125" s="103">
        <f>990354.3+24279436.93+4436971.17</f>
        <v>29706762.399999999</v>
      </c>
      <c r="I125" s="103">
        <f>H125+G125</f>
        <v>29706762.399999999</v>
      </c>
      <c r="J125" s="103">
        <f>'По разделам 4'!I180</f>
        <v>-27564526.450000003</v>
      </c>
      <c r="K125" s="103">
        <f>J125+I125</f>
        <v>2142235.9499999955</v>
      </c>
      <c r="L125" s="103">
        <v>0</v>
      </c>
      <c r="M125" s="103">
        <v>0</v>
      </c>
      <c r="N125" s="103">
        <f>M125+L125</f>
        <v>0</v>
      </c>
      <c r="O125" s="103">
        <v>0</v>
      </c>
      <c r="P125" s="103">
        <v>0</v>
      </c>
      <c r="Q125" s="103">
        <f>P125+O125</f>
        <v>0</v>
      </c>
    </row>
    <row r="126" spans="1:17" ht="14.45" customHeight="1" x14ac:dyDescent="0.25">
      <c r="A126" s="30" t="s">
        <v>317</v>
      </c>
      <c r="B126" s="31" t="s">
        <v>397</v>
      </c>
      <c r="C126" s="32" t="s">
        <v>318</v>
      </c>
      <c r="D126" s="32" t="s">
        <v>0</v>
      </c>
      <c r="E126" s="32" t="s">
        <v>0</v>
      </c>
      <c r="F126" s="32" t="s">
        <v>0</v>
      </c>
      <c r="G126" s="74">
        <f t="shared" ref="G126:Q130" si="52">G127</f>
        <v>2892385.27</v>
      </c>
      <c r="H126" s="74">
        <f t="shared" si="52"/>
        <v>0</v>
      </c>
      <c r="I126" s="74">
        <f t="shared" si="52"/>
        <v>2892385.27</v>
      </c>
      <c r="J126" s="74">
        <f t="shared" si="52"/>
        <v>0</v>
      </c>
      <c r="K126" s="74">
        <f t="shared" si="52"/>
        <v>2892385.27</v>
      </c>
      <c r="L126" s="73">
        <f t="shared" si="52"/>
        <v>2971636.55</v>
      </c>
      <c r="M126" s="74">
        <f t="shared" si="52"/>
        <v>0</v>
      </c>
      <c r="N126" s="74">
        <f t="shared" si="52"/>
        <v>2971636.55</v>
      </c>
      <c r="O126" s="73">
        <f t="shared" si="52"/>
        <v>3119538.44</v>
      </c>
      <c r="P126" s="74">
        <f t="shared" si="52"/>
        <v>0</v>
      </c>
      <c r="Q126" s="74">
        <f t="shared" si="52"/>
        <v>3119538.44</v>
      </c>
    </row>
    <row r="127" spans="1:17" x14ac:dyDescent="0.25">
      <c r="A127" s="30" t="s">
        <v>319</v>
      </c>
      <c r="B127" s="31" t="s">
        <v>397</v>
      </c>
      <c r="C127" s="32" t="s">
        <v>318</v>
      </c>
      <c r="D127" s="32" t="s">
        <v>318</v>
      </c>
      <c r="E127" s="32" t="s">
        <v>0</v>
      </c>
      <c r="F127" s="32" t="s">
        <v>0</v>
      </c>
      <c r="G127" s="74">
        <f t="shared" si="52"/>
        <v>2892385.27</v>
      </c>
      <c r="H127" s="74">
        <f t="shared" si="52"/>
        <v>0</v>
      </c>
      <c r="I127" s="74">
        <f t="shared" si="52"/>
        <v>2892385.27</v>
      </c>
      <c r="J127" s="74">
        <f t="shared" si="52"/>
        <v>0</v>
      </c>
      <c r="K127" s="74">
        <f t="shared" si="52"/>
        <v>2892385.27</v>
      </c>
      <c r="L127" s="73">
        <f t="shared" si="52"/>
        <v>2971636.55</v>
      </c>
      <c r="M127" s="74">
        <f t="shared" si="52"/>
        <v>0</v>
      </c>
      <c r="N127" s="74">
        <f t="shared" si="52"/>
        <v>2971636.55</v>
      </c>
      <c r="O127" s="73">
        <f t="shared" si="52"/>
        <v>3119538.44</v>
      </c>
      <c r="P127" s="74">
        <f t="shared" si="52"/>
        <v>0</v>
      </c>
      <c r="Q127" s="74">
        <f t="shared" si="52"/>
        <v>3119538.44</v>
      </c>
    </row>
    <row r="128" spans="1:17" ht="25.5" x14ac:dyDescent="0.25">
      <c r="A128" s="60" t="s">
        <v>320</v>
      </c>
      <c r="B128" s="31" t="s">
        <v>397</v>
      </c>
      <c r="C128" s="32" t="s">
        <v>318</v>
      </c>
      <c r="D128" s="32" t="s">
        <v>318</v>
      </c>
      <c r="E128" s="32" t="s">
        <v>321</v>
      </c>
      <c r="F128" s="32" t="s">
        <v>0</v>
      </c>
      <c r="G128" s="74">
        <f t="shared" si="52"/>
        <v>2892385.27</v>
      </c>
      <c r="H128" s="74">
        <f t="shared" si="52"/>
        <v>0</v>
      </c>
      <c r="I128" s="74">
        <f t="shared" si="52"/>
        <v>2892385.27</v>
      </c>
      <c r="J128" s="74">
        <f t="shared" si="52"/>
        <v>0</v>
      </c>
      <c r="K128" s="74">
        <f t="shared" si="52"/>
        <v>2892385.27</v>
      </c>
      <c r="L128" s="74">
        <f t="shared" si="52"/>
        <v>2971636.55</v>
      </c>
      <c r="M128" s="74">
        <f t="shared" si="52"/>
        <v>0</v>
      </c>
      <c r="N128" s="74">
        <f t="shared" si="52"/>
        <v>2971636.55</v>
      </c>
      <c r="O128" s="74">
        <f t="shared" si="52"/>
        <v>3119538.44</v>
      </c>
      <c r="P128" s="74">
        <f t="shared" si="52"/>
        <v>0</v>
      </c>
      <c r="Q128" s="74">
        <f t="shared" si="52"/>
        <v>3119538.44</v>
      </c>
    </row>
    <row r="129" spans="1:17" x14ac:dyDescent="0.25">
      <c r="A129" s="60" t="s">
        <v>313</v>
      </c>
      <c r="B129" s="31" t="s">
        <v>397</v>
      </c>
      <c r="C129" s="32" t="s">
        <v>318</v>
      </c>
      <c r="D129" s="32" t="s">
        <v>318</v>
      </c>
      <c r="E129" s="32" t="s">
        <v>322</v>
      </c>
      <c r="F129" s="32"/>
      <c r="G129" s="74">
        <f t="shared" si="52"/>
        <v>2892385.27</v>
      </c>
      <c r="H129" s="74">
        <f t="shared" si="52"/>
        <v>0</v>
      </c>
      <c r="I129" s="74">
        <f t="shared" si="52"/>
        <v>2892385.27</v>
      </c>
      <c r="J129" s="74">
        <f t="shared" si="52"/>
        <v>0</v>
      </c>
      <c r="K129" s="74">
        <f t="shared" si="52"/>
        <v>2892385.27</v>
      </c>
      <c r="L129" s="74">
        <f t="shared" si="52"/>
        <v>2971636.55</v>
      </c>
      <c r="M129" s="74">
        <f t="shared" si="52"/>
        <v>0</v>
      </c>
      <c r="N129" s="74">
        <f t="shared" si="52"/>
        <v>2971636.55</v>
      </c>
      <c r="O129" s="74">
        <f t="shared" si="52"/>
        <v>3119538.44</v>
      </c>
      <c r="P129" s="74">
        <f t="shared" si="52"/>
        <v>0</v>
      </c>
      <c r="Q129" s="74">
        <f t="shared" si="52"/>
        <v>3119538.44</v>
      </c>
    </row>
    <row r="130" spans="1:17" ht="27" x14ac:dyDescent="0.25">
      <c r="A130" s="48" t="s">
        <v>315</v>
      </c>
      <c r="B130" s="35" t="s">
        <v>397</v>
      </c>
      <c r="C130" s="36" t="s">
        <v>318</v>
      </c>
      <c r="D130" s="36" t="s">
        <v>318</v>
      </c>
      <c r="E130" s="36" t="s">
        <v>323</v>
      </c>
      <c r="F130" s="36" t="s">
        <v>0</v>
      </c>
      <c r="G130" s="75">
        <f t="shared" si="52"/>
        <v>2892385.27</v>
      </c>
      <c r="H130" s="75">
        <f t="shared" si="52"/>
        <v>0</v>
      </c>
      <c r="I130" s="75">
        <f t="shared" si="52"/>
        <v>2892385.27</v>
      </c>
      <c r="J130" s="75">
        <f t="shared" si="52"/>
        <v>0</v>
      </c>
      <c r="K130" s="75">
        <f t="shared" si="52"/>
        <v>2892385.27</v>
      </c>
      <c r="L130" s="75">
        <f t="shared" si="52"/>
        <v>2971636.55</v>
      </c>
      <c r="M130" s="75">
        <f t="shared" si="52"/>
        <v>0</v>
      </c>
      <c r="N130" s="75">
        <f t="shared" si="52"/>
        <v>2971636.55</v>
      </c>
      <c r="O130" s="75">
        <f t="shared" si="52"/>
        <v>3119538.44</v>
      </c>
      <c r="P130" s="75">
        <f t="shared" si="52"/>
        <v>0</v>
      </c>
      <c r="Q130" s="75">
        <f t="shared" si="52"/>
        <v>3119538.44</v>
      </c>
    </row>
    <row r="131" spans="1:17" ht="30" x14ac:dyDescent="0.25">
      <c r="A131" s="105" t="s">
        <v>305</v>
      </c>
      <c r="B131" s="50" t="s">
        <v>397</v>
      </c>
      <c r="C131" s="50" t="s">
        <v>318</v>
      </c>
      <c r="D131" s="50" t="s">
        <v>318</v>
      </c>
      <c r="E131" s="50" t="s">
        <v>323</v>
      </c>
      <c r="F131" s="98">
        <v>600</v>
      </c>
      <c r="G131" s="103">
        <v>2892385.27</v>
      </c>
      <c r="H131" s="103">
        <v>0</v>
      </c>
      <c r="I131" s="103">
        <f>G131+H131</f>
        <v>2892385.27</v>
      </c>
      <c r="J131" s="103">
        <v>0</v>
      </c>
      <c r="K131" s="103">
        <f>I131+J131</f>
        <v>2892385.27</v>
      </c>
      <c r="L131" s="103">
        <v>2971636.55</v>
      </c>
      <c r="M131" s="103">
        <v>0</v>
      </c>
      <c r="N131" s="103">
        <f>L131+M131</f>
        <v>2971636.55</v>
      </c>
      <c r="O131" s="103">
        <v>3119538.44</v>
      </c>
      <c r="P131" s="103">
        <v>0</v>
      </c>
      <c r="Q131" s="103">
        <f>O131+P131</f>
        <v>3119538.44</v>
      </c>
    </row>
    <row r="132" spans="1:17" x14ac:dyDescent="0.25">
      <c r="A132" s="60" t="s">
        <v>324</v>
      </c>
      <c r="B132" s="31" t="s">
        <v>397</v>
      </c>
      <c r="C132" s="32" t="s">
        <v>240</v>
      </c>
      <c r="D132" s="32" t="s">
        <v>0</v>
      </c>
      <c r="E132" s="32" t="s">
        <v>0</v>
      </c>
      <c r="F132" s="32" t="s">
        <v>0</v>
      </c>
      <c r="G132" s="74">
        <f t="shared" ref="G132:Q136" si="53">G133</f>
        <v>23593802.059999999</v>
      </c>
      <c r="H132" s="74">
        <f t="shared" si="53"/>
        <v>179000</v>
      </c>
      <c r="I132" s="74">
        <f t="shared" si="53"/>
        <v>23772802.059999999</v>
      </c>
      <c r="J132" s="74">
        <f t="shared" si="53"/>
        <v>0</v>
      </c>
      <c r="K132" s="74">
        <f t="shared" si="53"/>
        <v>23772802.059999999</v>
      </c>
      <c r="L132" s="73">
        <f t="shared" si="53"/>
        <v>23475918.469999999</v>
      </c>
      <c r="M132" s="74">
        <f t="shared" si="53"/>
        <v>0</v>
      </c>
      <c r="N132" s="74">
        <f t="shared" si="53"/>
        <v>23475918.469999999</v>
      </c>
      <c r="O132" s="73">
        <f t="shared" si="53"/>
        <v>23410030.870000001</v>
      </c>
      <c r="P132" s="74">
        <f t="shared" si="53"/>
        <v>0</v>
      </c>
      <c r="Q132" s="74">
        <f t="shared" si="53"/>
        <v>23410030.870000001</v>
      </c>
    </row>
    <row r="133" spans="1:17" x14ac:dyDescent="0.25">
      <c r="A133" s="30" t="s">
        <v>325</v>
      </c>
      <c r="B133" s="31" t="s">
        <v>397</v>
      </c>
      <c r="C133" s="32" t="s">
        <v>240</v>
      </c>
      <c r="D133" s="32" t="s">
        <v>162</v>
      </c>
      <c r="E133" s="32" t="s">
        <v>0</v>
      </c>
      <c r="F133" s="32" t="s">
        <v>0</v>
      </c>
      <c r="G133" s="74">
        <f t="shared" si="53"/>
        <v>23593802.059999999</v>
      </c>
      <c r="H133" s="74">
        <f t="shared" si="53"/>
        <v>179000</v>
      </c>
      <c r="I133" s="74">
        <f t="shared" si="53"/>
        <v>23772802.059999999</v>
      </c>
      <c r="J133" s="74">
        <f t="shared" si="53"/>
        <v>0</v>
      </c>
      <c r="K133" s="74">
        <f t="shared" si="53"/>
        <v>23772802.059999999</v>
      </c>
      <c r="L133" s="73">
        <f t="shared" si="53"/>
        <v>23475918.469999999</v>
      </c>
      <c r="M133" s="74">
        <f t="shared" si="53"/>
        <v>0</v>
      </c>
      <c r="N133" s="74">
        <f t="shared" si="53"/>
        <v>23475918.469999999</v>
      </c>
      <c r="O133" s="73">
        <f t="shared" si="53"/>
        <v>23410030.870000001</v>
      </c>
      <c r="P133" s="74">
        <f t="shared" si="53"/>
        <v>0</v>
      </c>
      <c r="Q133" s="74">
        <f t="shared" si="53"/>
        <v>23410030.870000001</v>
      </c>
    </row>
    <row r="134" spans="1:17" x14ac:dyDescent="0.25">
      <c r="A134" s="60" t="s">
        <v>326</v>
      </c>
      <c r="B134" s="31" t="s">
        <v>397</v>
      </c>
      <c r="C134" s="32" t="s">
        <v>240</v>
      </c>
      <c r="D134" s="32" t="s">
        <v>162</v>
      </c>
      <c r="E134" s="32" t="s">
        <v>327</v>
      </c>
      <c r="F134" s="32" t="s">
        <v>0</v>
      </c>
      <c r="G134" s="74">
        <f t="shared" si="53"/>
        <v>23593802.059999999</v>
      </c>
      <c r="H134" s="74">
        <f t="shared" si="53"/>
        <v>179000</v>
      </c>
      <c r="I134" s="74">
        <f t="shared" si="53"/>
        <v>23772802.059999999</v>
      </c>
      <c r="J134" s="74">
        <f t="shared" si="53"/>
        <v>0</v>
      </c>
      <c r="K134" s="74">
        <f t="shared" si="53"/>
        <v>23772802.059999999</v>
      </c>
      <c r="L134" s="74">
        <f t="shared" si="53"/>
        <v>23475918.469999999</v>
      </c>
      <c r="M134" s="74">
        <f t="shared" si="53"/>
        <v>0</v>
      </c>
      <c r="N134" s="74">
        <f t="shared" si="53"/>
        <v>23475918.469999999</v>
      </c>
      <c r="O134" s="74">
        <f t="shared" si="53"/>
        <v>23410030.870000001</v>
      </c>
      <c r="P134" s="74">
        <f t="shared" si="53"/>
        <v>0</v>
      </c>
      <c r="Q134" s="74">
        <f t="shared" si="53"/>
        <v>23410030.870000001</v>
      </c>
    </row>
    <row r="135" spans="1:17" x14ac:dyDescent="0.25">
      <c r="A135" s="60" t="s">
        <v>313</v>
      </c>
      <c r="B135" s="31" t="s">
        <v>397</v>
      </c>
      <c r="C135" s="32" t="s">
        <v>240</v>
      </c>
      <c r="D135" s="32" t="s">
        <v>162</v>
      </c>
      <c r="E135" s="32" t="s">
        <v>328</v>
      </c>
      <c r="F135" s="32"/>
      <c r="G135" s="74">
        <f t="shared" si="53"/>
        <v>23593802.059999999</v>
      </c>
      <c r="H135" s="74">
        <f t="shared" si="53"/>
        <v>179000</v>
      </c>
      <c r="I135" s="74">
        <f t="shared" si="53"/>
        <v>23772802.059999999</v>
      </c>
      <c r="J135" s="74">
        <f t="shared" si="53"/>
        <v>0</v>
      </c>
      <c r="K135" s="74">
        <f t="shared" si="53"/>
        <v>23772802.059999999</v>
      </c>
      <c r="L135" s="74">
        <f t="shared" si="53"/>
        <v>23475918.469999999</v>
      </c>
      <c r="M135" s="74">
        <f t="shared" si="53"/>
        <v>0</v>
      </c>
      <c r="N135" s="74">
        <f t="shared" si="53"/>
        <v>23475918.469999999</v>
      </c>
      <c r="O135" s="74">
        <f t="shared" si="53"/>
        <v>23410030.870000001</v>
      </c>
      <c r="P135" s="74">
        <f t="shared" si="53"/>
        <v>0</v>
      </c>
      <c r="Q135" s="74">
        <f t="shared" si="53"/>
        <v>23410030.870000001</v>
      </c>
    </row>
    <row r="136" spans="1:17" ht="27" x14ac:dyDescent="0.25">
      <c r="A136" s="48" t="s">
        <v>315</v>
      </c>
      <c r="B136" s="35" t="s">
        <v>397</v>
      </c>
      <c r="C136" s="36" t="s">
        <v>240</v>
      </c>
      <c r="D136" s="36" t="s">
        <v>162</v>
      </c>
      <c r="E136" s="36" t="s">
        <v>329</v>
      </c>
      <c r="F136" s="36" t="s">
        <v>0</v>
      </c>
      <c r="G136" s="75">
        <f t="shared" si="53"/>
        <v>23593802.059999999</v>
      </c>
      <c r="H136" s="75">
        <f t="shared" si="53"/>
        <v>179000</v>
      </c>
      <c r="I136" s="75">
        <f t="shared" si="53"/>
        <v>23772802.059999999</v>
      </c>
      <c r="J136" s="75">
        <f t="shared" si="53"/>
        <v>0</v>
      </c>
      <c r="K136" s="75">
        <f t="shared" si="53"/>
        <v>23772802.059999999</v>
      </c>
      <c r="L136" s="75">
        <f t="shared" si="53"/>
        <v>23475918.469999999</v>
      </c>
      <c r="M136" s="75">
        <f t="shared" si="53"/>
        <v>0</v>
      </c>
      <c r="N136" s="75">
        <f t="shared" si="53"/>
        <v>23475918.469999999</v>
      </c>
      <c r="O136" s="75">
        <f t="shared" si="53"/>
        <v>23410030.870000001</v>
      </c>
      <c r="P136" s="75">
        <f t="shared" si="53"/>
        <v>0</v>
      </c>
      <c r="Q136" s="75">
        <f t="shared" si="53"/>
        <v>23410030.870000001</v>
      </c>
    </row>
    <row r="137" spans="1:17" ht="17.100000000000001" customHeight="1" x14ac:dyDescent="0.25">
      <c r="A137" s="105" t="s">
        <v>305</v>
      </c>
      <c r="B137" s="50" t="s">
        <v>397</v>
      </c>
      <c r="C137" s="50" t="s">
        <v>240</v>
      </c>
      <c r="D137" s="50" t="s">
        <v>162</v>
      </c>
      <c r="E137" s="50" t="s">
        <v>329</v>
      </c>
      <c r="F137" s="98">
        <v>600</v>
      </c>
      <c r="G137" s="103">
        <v>23593802.059999999</v>
      </c>
      <c r="H137" s="103">
        <v>179000</v>
      </c>
      <c r="I137" s="103">
        <f>G137+H137</f>
        <v>23772802.059999999</v>
      </c>
      <c r="J137" s="103">
        <v>0</v>
      </c>
      <c r="K137" s="103">
        <f>I137+J137</f>
        <v>23772802.059999999</v>
      </c>
      <c r="L137" s="103">
        <v>23475918.469999999</v>
      </c>
      <c r="M137" s="103">
        <v>0</v>
      </c>
      <c r="N137" s="103">
        <f>L137+M137</f>
        <v>23475918.469999999</v>
      </c>
      <c r="O137" s="103">
        <v>23410030.870000001</v>
      </c>
      <c r="P137" s="103">
        <v>0</v>
      </c>
      <c r="Q137" s="103">
        <f>O137+P137</f>
        <v>23410030.870000001</v>
      </c>
    </row>
    <row r="138" spans="1:17" ht="16.5" customHeight="1" x14ac:dyDescent="0.25">
      <c r="A138" s="30" t="s">
        <v>330</v>
      </c>
      <c r="B138" s="31" t="s">
        <v>397</v>
      </c>
      <c r="C138" s="32" t="s">
        <v>331</v>
      </c>
      <c r="D138" s="32" t="s">
        <v>0</v>
      </c>
      <c r="E138" s="32" t="s">
        <v>0</v>
      </c>
      <c r="F138" s="32" t="s">
        <v>0</v>
      </c>
      <c r="G138" s="42">
        <f>G139+G144+G155</f>
        <v>31455483.32</v>
      </c>
      <c r="H138" s="42">
        <f>H139+H144+H155</f>
        <v>-617025</v>
      </c>
      <c r="I138" s="42">
        <f>I139+I144+I155</f>
        <v>30838458.32</v>
      </c>
      <c r="J138" s="42">
        <f>J139+J144+J155</f>
        <v>0</v>
      </c>
      <c r="K138" s="42">
        <f>K139+K144+K155</f>
        <v>30838458.32</v>
      </c>
      <c r="L138" s="33">
        <f t="shared" ref="L138:O138" si="54">L139+L144+L155</f>
        <v>10723824.84</v>
      </c>
      <c r="M138" s="42">
        <f>M139+M144+M155</f>
        <v>0</v>
      </c>
      <c r="N138" s="42">
        <f>N139+N144+N155</f>
        <v>10723824.84</v>
      </c>
      <c r="O138" s="33">
        <f t="shared" si="54"/>
        <v>10860332</v>
      </c>
      <c r="P138" s="42">
        <f>P139+P144+P155</f>
        <v>0</v>
      </c>
      <c r="Q138" s="42">
        <f>Q139+Q144+Q155</f>
        <v>10860332</v>
      </c>
    </row>
    <row r="139" spans="1:17" x14ac:dyDescent="0.25">
      <c r="A139" s="30" t="s">
        <v>332</v>
      </c>
      <c r="B139" s="31" t="s">
        <v>397</v>
      </c>
      <c r="C139" s="32" t="s">
        <v>331</v>
      </c>
      <c r="D139" s="32" t="s">
        <v>142</v>
      </c>
      <c r="E139" s="32" t="s">
        <v>0</v>
      </c>
      <c r="F139" s="32" t="s">
        <v>0</v>
      </c>
      <c r="G139" s="42">
        <f t="shared" ref="G139:Q142" si="55">G140</f>
        <v>2100000</v>
      </c>
      <c r="H139" s="42">
        <f t="shared" si="55"/>
        <v>0</v>
      </c>
      <c r="I139" s="42">
        <f t="shared" si="55"/>
        <v>2100000</v>
      </c>
      <c r="J139" s="42">
        <f t="shared" si="55"/>
        <v>0</v>
      </c>
      <c r="K139" s="42">
        <f t="shared" si="55"/>
        <v>2100000</v>
      </c>
      <c r="L139" s="33">
        <f t="shared" si="55"/>
        <v>2100000</v>
      </c>
      <c r="M139" s="42">
        <f t="shared" si="55"/>
        <v>0</v>
      </c>
      <c r="N139" s="42">
        <f t="shared" si="55"/>
        <v>2100000</v>
      </c>
      <c r="O139" s="33">
        <f t="shared" si="55"/>
        <v>2100000</v>
      </c>
      <c r="P139" s="42">
        <f t="shared" si="55"/>
        <v>0</v>
      </c>
      <c r="Q139" s="42">
        <f t="shared" si="55"/>
        <v>2100000</v>
      </c>
    </row>
    <row r="140" spans="1:17" x14ac:dyDescent="0.25">
      <c r="A140" s="30" t="s">
        <v>333</v>
      </c>
      <c r="B140" s="31" t="s">
        <v>397</v>
      </c>
      <c r="C140" s="32" t="s">
        <v>331</v>
      </c>
      <c r="D140" s="32" t="s">
        <v>142</v>
      </c>
      <c r="E140" s="32" t="s">
        <v>334</v>
      </c>
      <c r="F140" s="32" t="s">
        <v>0</v>
      </c>
      <c r="G140" s="42">
        <f t="shared" si="55"/>
        <v>2100000</v>
      </c>
      <c r="H140" s="42">
        <f t="shared" si="55"/>
        <v>0</v>
      </c>
      <c r="I140" s="42">
        <f t="shared" si="55"/>
        <v>2100000</v>
      </c>
      <c r="J140" s="42">
        <f t="shared" si="55"/>
        <v>0</v>
      </c>
      <c r="K140" s="42">
        <f t="shared" si="55"/>
        <v>2100000</v>
      </c>
      <c r="L140" s="33">
        <f t="shared" si="55"/>
        <v>2100000</v>
      </c>
      <c r="M140" s="42">
        <f t="shared" si="55"/>
        <v>0</v>
      </c>
      <c r="N140" s="42">
        <f t="shared" si="55"/>
        <v>2100000</v>
      </c>
      <c r="O140" s="33">
        <f t="shared" si="55"/>
        <v>2100000</v>
      </c>
      <c r="P140" s="42">
        <f t="shared" si="55"/>
        <v>0</v>
      </c>
      <c r="Q140" s="42">
        <f t="shared" si="55"/>
        <v>2100000</v>
      </c>
    </row>
    <row r="141" spans="1:17" x14ac:dyDescent="0.25">
      <c r="A141" s="30" t="s">
        <v>313</v>
      </c>
      <c r="B141" s="31" t="s">
        <v>397</v>
      </c>
      <c r="C141" s="32" t="s">
        <v>331</v>
      </c>
      <c r="D141" s="32" t="s">
        <v>142</v>
      </c>
      <c r="E141" s="32" t="s">
        <v>335</v>
      </c>
      <c r="F141" s="32" t="s">
        <v>0</v>
      </c>
      <c r="G141" s="42">
        <f t="shared" si="55"/>
        <v>2100000</v>
      </c>
      <c r="H141" s="42">
        <f t="shared" si="55"/>
        <v>0</v>
      </c>
      <c r="I141" s="42">
        <f t="shared" si="55"/>
        <v>2100000</v>
      </c>
      <c r="J141" s="42">
        <f t="shared" si="55"/>
        <v>0</v>
      </c>
      <c r="K141" s="42">
        <f t="shared" si="55"/>
        <v>2100000</v>
      </c>
      <c r="L141" s="33">
        <f t="shared" si="55"/>
        <v>2100000</v>
      </c>
      <c r="M141" s="42">
        <f t="shared" si="55"/>
        <v>0</v>
      </c>
      <c r="N141" s="42">
        <f t="shared" si="55"/>
        <v>2100000</v>
      </c>
      <c r="O141" s="33">
        <f t="shared" si="55"/>
        <v>2100000</v>
      </c>
      <c r="P141" s="42">
        <f t="shared" si="55"/>
        <v>0</v>
      </c>
      <c r="Q141" s="42">
        <f t="shared" si="55"/>
        <v>2100000</v>
      </c>
    </row>
    <row r="142" spans="1:17" ht="27" x14ac:dyDescent="0.25">
      <c r="A142" s="34" t="s">
        <v>336</v>
      </c>
      <c r="B142" s="35" t="s">
        <v>397</v>
      </c>
      <c r="C142" s="36" t="s">
        <v>331</v>
      </c>
      <c r="D142" s="36" t="s">
        <v>142</v>
      </c>
      <c r="E142" s="36" t="s">
        <v>337</v>
      </c>
      <c r="F142" s="36"/>
      <c r="G142" s="43">
        <f t="shared" si="55"/>
        <v>2100000</v>
      </c>
      <c r="H142" s="43">
        <f t="shared" si="55"/>
        <v>0</v>
      </c>
      <c r="I142" s="43">
        <f t="shared" si="55"/>
        <v>2100000</v>
      </c>
      <c r="J142" s="43">
        <f t="shared" si="55"/>
        <v>0</v>
      </c>
      <c r="K142" s="43">
        <f t="shared" si="55"/>
        <v>2100000</v>
      </c>
      <c r="L142" s="37">
        <f t="shared" si="55"/>
        <v>2100000</v>
      </c>
      <c r="M142" s="43">
        <f t="shared" si="55"/>
        <v>0</v>
      </c>
      <c r="N142" s="43">
        <f t="shared" si="55"/>
        <v>2100000</v>
      </c>
      <c r="O142" s="37">
        <f t="shared" si="55"/>
        <v>2100000</v>
      </c>
      <c r="P142" s="43">
        <f t="shared" si="55"/>
        <v>0</v>
      </c>
      <c r="Q142" s="43">
        <f t="shared" si="55"/>
        <v>2100000</v>
      </c>
    </row>
    <row r="143" spans="1:17" x14ac:dyDescent="0.25">
      <c r="A143" s="96" t="s">
        <v>209</v>
      </c>
      <c r="B143" s="49" t="s">
        <v>397</v>
      </c>
      <c r="C143" s="50" t="s">
        <v>331</v>
      </c>
      <c r="D143" s="50" t="s">
        <v>142</v>
      </c>
      <c r="E143" s="50" t="s">
        <v>337</v>
      </c>
      <c r="F143" s="50">
        <v>300</v>
      </c>
      <c r="G143" s="51">
        <v>2100000</v>
      </c>
      <c r="H143" s="51">
        <v>0</v>
      </c>
      <c r="I143" s="103">
        <f>G143+H143</f>
        <v>2100000</v>
      </c>
      <c r="J143" s="51">
        <v>0</v>
      </c>
      <c r="K143" s="103">
        <f>I143+J143</f>
        <v>2100000</v>
      </c>
      <c r="L143" s="76">
        <v>2100000</v>
      </c>
      <c r="M143" s="51">
        <v>0</v>
      </c>
      <c r="N143" s="103">
        <f>L143+M143</f>
        <v>2100000</v>
      </c>
      <c r="O143" s="76">
        <v>2100000</v>
      </c>
      <c r="P143" s="51">
        <v>0</v>
      </c>
      <c r="Q143" s="103">
        <f>O143+P143</f>
        <v>2100000</v>
      </c>
    </row>
    <row r="144" spans="1:17" outlineLevel="1" x14ac:dyDescent="0.25">
      <c r="A144" s="30" t="s">
        <v>338</v>
      </c>
      <c r="B144" s="31" t="s">
        <v>397</v>
      </c>
      <c r="C144" s="32" t="s">
        <v>331</v>
      </c>
      <c r="D144" s="32" t="s">
        <v>155</v>
      </c>
      <c r="E144" s="32" t="s">
        <v>0</v>
      </c>
      <c r="F144" s="32" t="s">
        <v>0</v>
      </c>
      <c r="G144" s="42">
        <f t="shared" ref="G144:Q145" si="56">G145</f>
        <v>13406436.32</v>
      </c>
      <c r="H144" s="42">
        <f t="shared" si="56"/>
        <v>0</v>
      </c>
      <c r="I144" s="42">
        <f t="shared" si="56"/>
        <v>13406436.32</v>
      </c>
      <c r="J144" s="42">
        <f t="shared" si="56"/>
        <v>0</v>
      </c>
      <c r="K144" s="42">
        <f t="shared" si="56"/>
        <v>13406436.32</v>
      </c>
      <c r="L144" s="42">
        <f t="shared" si="56"/>
        <v>3912702.84</v>
      </c>
      <c r="M144" s="42">
        <f t="shared" si="56"/>
        <v>0</v>
      </c>
      <c r="N144" s="42">
        <f t="shared" si="56"/>
        <v>3912702.84</v>
      </c>
      <c r="O144" s="42">
        <f t="shared" si="56"/>
        <v>4049210</v>
      </c>
      <c r="P144" s="42">
        <f t="shared" si="56"/>
        <v>0</v>
      </c>
      <c r="Q144" s="42">
        <f t="shared" si="56"/>
        <v>4049210</v>
      </c>
    </row>
    <row r="145" spans="1:17" outlineLevel="1" x14ac:dyDescent="0.25">
      <c r="A145" s="30" t="s">
        <v>257</v>
      </c>
      <c r="B145" s="31" t="s">
        <v>397</v>
      </c>
      <c r="C145" s="32" t="s">
        <v>331</v>
      </c>
      <c r="D145" s="32" t="s">
        <v>155</v>
      </c>
      <c r="E145" s="32" t="s">
        <v>258</v>
      </c>
      <c r="F145" s="32" t="s">
        <v>0</v>
      </c>
      <c r="G145" s="42">
        <f t="shared" si="56"/>
        <v>13406436.32</v>
      </c>
      <c r="H145" s="42">
        <f t="shared" si="56"/>
        <v>0</v>
      </c>
      <c r="I145" s="42">
        <f t="shared" si="56"/>
        <v>13406436.32</v>
      </c>
      <c r="J145" s="42">
        <f t="shared" si="56"/>
        <v>0</v>
      </c>
      <c r="K145" s="42">
        <f t="shared" si="56"/>
        <v>13406436.32</v>
      </c>
      <c r="L145" s="42">
        <f t="shared" si="56"/>
        <v>3912702.84</v>
      </c>
      <c r="M145" s="42">
        <f t="shared" si="56"/>
        <v>0</v>
      </c>
      <c r="N145" s="42">
        <f t="shared" si="56"/>
        <v>3912702.84</v>
      </c>
      <c r="O145" s="42">
        <f t="shared" si="56"/>
        <v>4049210</v>
      </c>
      <c r="P145" s="42">
        <f t="shared" si="56"/>
        <v>0</v>
      </c>
      <c r="Q145" s="42">
        <f t="shared" si="56"/>
        <v>4049210</v>
      </c>
    </row>
    <row r="146" spans="1:17" outlineLevel="1" x14ac:dyDescent="0.25">
      <c r="A146" s="30" t="s">
        <v>165</v>
      </c>
      <c r="B146" s="31" t="s">
        <v>397</v>
      </c>
      <c r="C146" s="32" t="s">
        <v>331</v>
      </c>
      <c r="D146" s="32" t="s">
        <v>155</v>
      </c>
      <c r="E146" s="32" t="s">
        <v>259</v>
      </c>
      <c r="F146" s="32" t="s">
        <v>0</v>
      </c>
      <c r="G146" s="42">
        <f>G147+G150+G153</f>
        <v>13406436.32</v>
      </c>
      <c r="H146" s="42">
        <f>H147+H150+H153</f>
        <v>0</v>
      </c>
      <c r="I146" s="42">
        <f>I147+I150+I153</f>
        <v>13406436.32</v>
      </c>
      <c r="J146" s="42">
        <f>J147+J150+J153</f>
        <v>0</v>
      </c>
      <c r="K146" s="42">
        <f>K147+K150+K153</f>
        <v>13406436.32</v>
      </c>
      <c r="L146" s="42">
        <f t="shared" ref="L146:O146" si="57">L147+L150+L153</f>
        <v>3912702.84</v>
      </c>
      <c r="M146" s="42">
        <f>M147+M150+M153</f>
        <v>0</v>
      </c>
      <c r="N146" s="42">
        <f>N147+N150+N153</f>
        <v>3912702.84</v>
      </c>
      <c r="O146" s="42">
        <f t="shared" si="57"/>
        <v>4049210</v>
      </c>
      <c r="P146" s="42">
        <f>P147+P150+P153</f>
        <v>0</v>
      </c>
      <c r="Q146" s="42">
        <f>Q147+Q150+Q153</f>
        <v>4049210</v>
      </c>
    </row>
    <row r="147" spans="1:17" outlineLevel="1" x14ac:dyDescent="0.25">
      <c r="A147" s="34" t="s">
        <v>339</v>
      </c>
      <c r="B147" s="35" t="s">
        <v>397</v>
      </c>
      <c r="C147" s="36" t="s">
        <v>331</v>
      </c>
      <c r="D147" s="36" t="s">
        <v>155</v>
      </c>
      <c r="E147" s="36" t="s">
        <v>340</v>
      </c>
      <c r="F147" s="36" t="s">
        <v>0</v>
      </c>
      <c r="G147" s="43">
        <f>G148+G149</f>
        <v>4423333.4800000004</v>
      </c>
      <c r="H147" s="43">
        <f>H148+H149</f>
        <v>0</v>
      </c>
      <c r="I147" s="43">
        <f>I148+I149</f>
        <v>4423333.4800000004</v>
      </c>
      <c r="J147" s="43">
        <f>J148+J149</f>
        <v>0</v>
      </c>
      <c r="K147" s="43">
        <f>K148+K149</f>
        <v>4423333.4800000004</v>
      </c>
      <c r="L147" s="43">
        <f t="shared" ref="L147:O147" si="58">L148+L149</f>
        <v>500000</v>
      </c>
      <c r="M147" s="43">
        <f>M148+M149</f>
        <v>0</v>
      </c>
      <c r="N147" s="43">
        <f>N148+N149</f>
        <v>500000</v>
      </c>
      <c r="O147" s="43">
        <f t="shared" si="58"/>
        <v>500000</v>
      </c>
      <c r="P147" s="43">
        <f>P148+P149</f>
        <v>0</v>
      </c>
      <c r="Q147" s="43">
        <f>Q148+Q149</f>
        <v>500000</v>
      </c>
    </row>
    <row r="148" spans="1:17" outlineLevel="1" x14ac:dyDescent="0.25">
      <c r="A148" s="96" t="s">
        <v>209</v>
      </c>
      <c r="B148" s="97" t="s">
        <v>397</v>
      </c>
      <c r="C148" s="98" t="s">
        <v>331</v>
      </c>
      <c r="D148" s="98" t="s">
        <v>155</v>
      </c>
      <c r="E148" s="98" t="s">
        <v>340</v>
      </c>
      <c r="F148" s="98" t="s">
        <v>210</v>
      </c>
      <c r="G148" s="103">
        <v>500000</v>
      </c>
      <c r="H148" s="103">
        <v>0</v>
      </c>
      <c r="I148" s="103">
        <f>G148+H148</f>
        <v>500000</v>
      </c>
      <c r="J148" s="103">
        <v>0</v>
      </c>
      <c r="K148" s="103">
        <f>I148+J148</f>
        <v>500000</v>
      </c>
      <c r="L148" s="103">
        <v>500000</v>
      </c>
      <c r="M148" s="103">
        <v>0</v>
      </c>
      <c r="N148" s="103">
        <f>L148+M148</f>
        <v>500000</v>
      </c>
      <c r="O148" s="103">
        <v>500000</v>
      </c>
      <c r="P148" s="103">
        <v>0</v>
      </c>
      <c r="Q148" s="103">
        <f>O148+P148</f>
        <v>500000</v>
      </c>
    </row>
    <row r="149" spans="1:17" ht="13.5" customHeight="1" outlineLevel="1" x14ac:dyDescent="0.25">
      <c r="A149" s="96" t="s">
        <v>169</v>
      </c>
      <c r="B149" s="97" t="s">
        <v>397</v>
      </c>
      <c r="C149" s="98" t="s">
        <v>331</v>
      </c>
      <c r="D149" s="98" t="s">
        <v>155</v>
      </c>
      <c r="E149" s="98" t="s">
        <v>340</v>
      </c>
      <c r="F149" s="98" t="s">
        <v>171</v>
      </c>
      <c r="G149" s="103">
        <v>3923333.48</v>
      </c>
      <c r="H149" s="103">
        <v>0</v>
      </c>
      <c r="I149" s="103">
        <f>G149+H149</f>
        <v>3923333.48</v>
      </c>
      <c r="J149" s="103">
        <v>0</v>
      </c>
      <c r="K149" s="103">
        <f>I149+J149</f>
        <v>3923333.48</v>
      </c>
      <c r="L149" s="103">
        <v>0</v>
      </c>
      <c r="M149" s="103">
        <v>0</v>
      </c>
      <c r="N149" s="103">
        <f>L149+M149</f>
        <v>0</v>
      </c>
      <c r="O149" s="103">
        <v>0</v>
      </c>
      <c r="P149" s="103">
        <v>0</v>
      </c>
      <c r="Q149" s="103">
        <f>O149+P149</f>
        <v>0</v>
      </c>
    </row>
    <row r="150" spans="1:17" ht="29.25" customHeight="1" outlineLevel="2" x14ac:dyDescent="0.25">
      <c r="A150" s="34" t="s">
        <v>271</v>
      </c>
      <c r="B150" s="35" t="s">
        <v>397</v>
      </c>
      <c r="C150" s="36" t="s">
        <v>331</v>
      </c>
      <c r="D150" s="36" t="s">
        <v>155</v>
      </c>
      <c r="E150" s="36" t="s">
        <v>272</v>
      </c>
      <c r="F150" s="36" t="s">
        <v>0</v>
      </c>
      <c r="G150" s="43">
        <f>G151+G152</f>
        <v>5802419.8399999999</v>
      </c>
      <c r="H150" s="43">
        <f>H151+H152</f>
        <v>0</v>
      </c>
      <c r="I150" s="43">
        <f>I151+I152</f>
        <v>5802419.8399999999</v>
      </c>
      <c r="J150" s="43">
        <f>J151+J152</f>
        <v>0</v>
      </c>
      <c r="K150" s="43">
        <f>K151+K152</f>
        <v>5802419.8399999999</v>
      </c>
      <c r="L150" s="43">
        <f t="shared" ref="L150:O150" si="59">L151+L152</f>
        <v>232019.84</v>
      </c>
      <c r="M150" s="43">
        <f>M151+M152</f>
        <v>0</v>
      </c>
      <c r="N150" s="43">
        <f>N151+N152</f>
        <v>232019.84</v>
      </c>
      <c r="O150" s="43">
        <f t="shared" si="59"/>
        <v>241300</v>
      </c>
      <c r="P150" s="43">
        <f>P151+P152</f>
        <v>0</v>
      </c>
      <c r="Q150" s="43">
        <f>Q151+Q152</f>
        <v>241300</v>
      </c>
    </row>
    <row r="151" spans="1:17" ht="30" outlineLevel="2" x14ac:dyDescent="0.25">
      <c r="A151" s="96" t="s">
        <v>153</v>
      </c>
      <c r="B151" s="97" t="s">
        <v>397</v>
      </c>
      <c r="C151" s="98" t="s">
        <v>331</v>
      </c>
      <c r="D151" s="98" t="s">
        <v>155</v>
      </c>
      <c r="E151" s="98" t="s">
        <v>272</v>
      </c>
      <c r="F151" s="98" t="s">
        <v>158</v>
      </c>
      <c r="G151" s="103">
        <v>232019.84</v>
      </c>
      <c r="H151" s="103">
        <v>0</v>
      </c>
      <c r="I151" s="103">
        <f>G151+H151</f>
        <v>232019.84</v>
      </c>
      <c r="J151" s="103">
        <v>0</v>
      </c>
      <c r="K151" s="103">
        <f>I151+J151</f>
        <v>232019.84</v>
      </c>
      <c r="L151" s="103">
        <v>232019.84</v>
      </c>
      <c r="M151" s="103">
        <v>0</v>
      </c>
      <c r="N151" s="103">
        <f>L151+M151</f>
        <v>232019.84</v>
      </c>
      <c r="O151" s="103">
        <v>241300</v>
      </c>
      <c r="P151" s="103">
        <v>0</v>
      </c>
      <c r="Q151" s="103">
        <f>O151+P151</f>
        <v>241300</v>
      </c>
    </row>
    <row r="152" spans="1:17" outlineLevel="2" x14ac:dyDescent="0.25">
      <c r="A152" s="96" t="s">
        <v>169</v>
      </c>
      <c r="B152" s="97" t="s">
        <v>397</v>
      </c>
      <c r="C152" s="98" t="s">
        <v>331</v>
      </c>
      <c r="D152" s="98" t="s">
        <v>155</v>
      </c>
      <c r="E152" s="98" t="s">
        <v>272</v>
      </c>
      <c r="F152" s="98" t="s">
        <v>171</v>
      </c>
      <c r="G152" s="103">
        <v>5570400</v>
      </c>
      <c r="H152" s="103">
        <v>0</v>
      </c>
      <c r="I152" s="103">
        <f>G152+H152</f>
        <v>5570400</v>
      </c>
      <c r="J152" s="103">
        <v>0</v>
      </c>
      <c r="K152" s="103">
        <f>I152+J152</f>
        <v>5570400</v>
      </c>
      <c r="L152" s="103">
        <v>0</v>
      </c>
      <c r="M152" s="103">
        <v>0</v>
      </c>
      <c r="N152" s="103">
        <f>L152+M152</f>
        <v>0</v>
      </c>
      <c r="O152" s="103">
        <v>0</v>
      </c>
      <c r="P152" s="103">
        <v>0</v>
      </c>
      <c r="Q152" s="103">
        <f>O152+P152</f>
        <v>0</v>
      </c>
    </row>
    <row r="153" spans="1:17" ht="14.25" customHeight="1" outlineLevel="1" x14ac:dyDescent="0.25">
      <c r="A153" s="34" t="s">
        <v>341</v>
      </c>
      <c r="B153" s="35" t="s">
        <v>397</v>
      </c>
      <c r="C153" s="36" t="s">
        <v>331</v>
      </c>
      <c r="D153" s="36" t="s">
        <v>155</v>
      </c>
      <c r="E153" s="36" t="s">
        <v>342</v>
      </c>
      <c r="F153" s="36" t="s">
        <v>0</v>
      </c>
      <c r="G153" s="43">
        <f>G154</f>
        <v>3180683</v>
      </c>
      <c r="H153" s="43">
        <f>H154</f>
        <v>0</v>
      </c>
      <c r="I153" s="43">
        <f>I154</f>
        <v>3180683</v>
      </c>
      <c r="J153" s="43">
        <f>J154</f>
        <v>0</v>
      </c>
      <c r="K153" s="43">
        <f>K154</f>
        <v>3180683</v>
      </c>
      <c r="L153" s="43">
        <f t="shared" ref="L153:O153" si="60">L154</f>
        <v>3180683</v>
      </c>
      <c r="M153" s="43">
        <f>M154</f>
        <v>0</v>
      </c>
      <c r="N153" s="43">
        <f>N154</f>
        <v>3180683</v>
      </c>
      <c r="O153" s="43">
        <f t="shared" si="60"/>
        <v>3307910</v>
      </c>
      <c r="P153" s="43">
        <f>P154</f>
        <v>0</v>
      </c>
      <c r="Q153" s="43">
        <f>Q154</f>
        <v>3307910</v>
      </c>
    </row>
    <row r="154" spans="1:17" ht="30" outlineLevel="1" x14ac:dyDescent="0.25">
      <c r="A154" s="96" t="s">
        <v>343</v>
      </c>
      <c r="B154" s="97" t="s">
        <v>397</v>
      </c>
      <c r="C154" s="98" t="s">
        <v>331</v>
      </c>
      <c r="D154" s="98" t="s">
        <v>155</v>
      </c>
      <c r="E154" s="98" t="s">
        <v>342</v>
      </c>
      <c r="F154" s="98" t="s">
        <v>344</v>
      </c>
      <c r="G154" s="103">
        <v>3180683</v>
      </c>
      <c r="H154" s="103">
        <v>0</v>
      </c>
      <c r="I154" s="103">
        <f>G154+H154</f>
        <v>3180683</v>
      </c>
      <c r="J154" s="103">
        <v>0</v>
      </c>
      <c r="K154" s="103">
        <f>I154+J154</f>
        <v>3180683</v>
      </c>
      <c r="L154" s="103">
        <v>3180683</v>
      </c>
      <c r="M154" s="103">
        <v>0</v>
      </c>
      <c r="N154" s="103">
        <f>L154+M154</f>
        <v>3180683</v>
      </c>
      <c r="O154" s="103">
        <v>3307910</v>
      </c>
      <c r="P154" s="103">
        <v>0</v>
      </c>
      <c r="Q154" s="103">
        <f>O154+P154</f>
        <v>3307910</v>
      </c>
    </row>
    <row r="155" spans="1:17" x14ac:dyDescent="0.25">
      <c r="A155" s="30" t="s">
        <v>345</v>
      </c>
      <c r="B155" s="31" t="s">
        <v>397</v>
      </c>
      <c r="C155" s="32" t="s">
        <v>331</v>
      </c>
      <c r="D155" s="32" t="s">
        <v>175</v>
      </c>
      <c r="E155" s="32" t="s">
        <v>0</v>
      </c>
      <c r="F155" s="32" t="s">
        <v>0</v>
      </c>
      <c r="G155" s="42">
        <f>G156</f>
        <v>15949047</v>
      </c>
      <c r="H155" s="42">
        <f>H156</f>
        <v>-617025</v>
      </c>
      <c r="I155" s="42">
        <f>I156</f>
        <v>15332022</v>
      </c>
      <c r="J155" s="42">
        <f>J156</f>
        <v>0</v>
      </c>
      <c r="K155" s="42">
        <f>K156</f>
        <v>15332022</v>
      </c>
      <c r="L155" s="42">
        <f t="shared" ref="L155:O155" si="61">L156</f>
        <v>4711122</v>
      </c>
      <c r="M155" s="42">
        <f>M156</f>
        <v>0</v>
      </c>
      <c r="N155" s="42">
        <f>N156</f>
        <v>4711122</v>
      </c>
      <c r="O155" s="42">
        <f t="shared" si="61"/>
        <v>4711122</v>
      </c>
      <c r="P155" s="42">
        <f>P156</f>
        <v>0</v>
      </c>
      <c r="Q155" s="42">
        <f>Q156</f>
        <v>4711122</v>
      </c>
    </row>
    <row r="156" spans="1:17" x14ac:dyDescent="0.25">
      <c r="A156" s="30" t="s">
        <v>333</v>
      </c>
      <c r="B156" s="31" t="s">
        <v>397</v>
      </c>
      <c r="C156" s="32" t="s">
        <v>331</v>
      </c>
      <c r="D156" s="32" t="s">
        <v>175</v>
      </c>
      <c r="E156" s="32" t="s">
        <v>346</v>
      </c>
      <c r="F156" s="32" t="s">
        <v>0</v>
      </c>
      <c r="G156" s="42">
        <f>G157+G166</f>
        <v>15949047</v>
      </c>
      <c r="H156" s="42">
        <f>H157+H166</f>
        <v>-617025</v>
      </c>
      <c r="I156" s="42">
        <f>I157+I166</f>
        <v>15332022</v>
      </c>
      <c r="J156" s="42">
        <f>J157+J166</f>
        <v>0</v>
      </c>
      <c r="K156" s="42">
        <f>K157+K166</f>
        <v>15332022</v>
      </c>
      <c r="L156" s="42">
        <f t="shared" ref="L156:O156" si="62">L157+L166</f>
        <v>4711122</v>
      </c>
      <c r="M156" s="42">
        <f>M157+M166</f>
        <v>0</v>
      </c>
      <c r="N156" s="42">
        <f>N157+N166</f>
        <v>4711122</v>
      </c>
      <c r="O156" s="42">
        <f t="shared" si="62"/>
        <v>4711122</v>
      </c>
      <c r="P156" s="42">
        <f>P157+P166</f>
        <v>0</v>
      </c>
      <c r="Q156" s="42">
        <f>Q157+Q166</f>
        <v>4711122</v>
      </c>
    </row>
    <row r="157" spans="1:17" x14ac:dyDescent="0.25">
      <c r="A157" s="30" t="s">
        <v>165</v>
      </c>
      <c r="B157" s="31" t="s">
        <v>397</v>
      </c>
      <c r="C157" s="32" t="s">
        <v>331</v>
      </c>
      <c r="D157" s="32" t="s">
        <v>175</v>
      </c>
      <c r="E157" s="32" t="s">
        <v>347</v>
      </c>
      <c r="F157" s="32"/>
      <c r="G157" s="42">
        <f>G158+G160+G163</f>
        <v>3739600</v>
      </c>
      <c r="H157" s="42">
        <f>H158+H160+H163</f>
        <v>1499600</v>
      </c>
      <c r="I157" s="42">
        <f>I158+I160+I163</f>
        <v>5239200</v>
      </c>
      <c r="J157" s="42">
        <f>J158+J160+J163</f>
        <v>0</v>
      </c>
      <c r="K157" s="42">
        <f>K158+K160+K163</f>
        <v>5239200</v>
      </c>
      <c r="L157" s="42">
        <f t="shared" ref="L157:O157" si="63">L158+L160+L163</f>
        <v>2139600</v>
      </c>
      <c r="M157" s="42">
        <f>M158+M160+M163</f>
        <v>0</v>
      </c>
      <c r="N157" s="42">
        <f>N158+N160+N163</f>
        <v>2139600</v>
      </c>
      <c r="O157" s="42">
        <f t="shared" si="63"/>
        <v>2139600</v>
      </c>
      <c r="P157" s="42">
        <f>P158+P160+P163</f>
        <v>0</v>
      </c>
      <c r="Q157" s="42">
        <f>Q158+Q160+Q163</f>
        <v>2139600</v>
      </c>
    </row>
    <row r="158" spans="1:17" x14ac:dyDescent="0.25">
      <c r="A158" s="34" t="s">
        <v>348</v>
      </c>
      <c r="B158" s="35" t="s">
        <v>397</v>
      </c>
      <c r="C158" s="36" t="s">
        <v>331</v>
      </c>
      <c r="D158" s="36" t="s">
        <v>175</v>
      </c>
      <c r="E158" s="36" t="s">
        <v>349</v>
      </c>
      <c r="F158" s="36"/>
      <c r="G158" s="43">
        <f>G159</f>
        <v>1600000</v>
      </c>
      <c r="H158" s="43">
        <f>H159</f>
        <v>0</v>
      </c>
      <c r="I158" s="43">
        <f>I159</f>
        <v>1600000</v>
      </c>
      <c r="J158" s="43">
        <f>J159</f>
        <v>0</v>
      </c>
      <c r="K158" s="43">
        <f>K159</f>
        <v>1600000</v>
      </c>
      <c r="L158" s="43">
        <f t="shared" ref="L158:O158" si="64">L159</f>
        <v>0</v>
      </c>
      <c r="M158" s="43">
        <f>M159</f>
        <v>0</v>
      </c>
      <c r="N158" s="43">
        <f>N159</f>
        <v>0</v>
      </c>
      <c r="O158" s="43">
        <f t="shared" si="64"/>
        <v>0</v>
      </c>
      <c r="P158" s="43">
        <f>P159</f>
        <v>0</v>
      </c>
      <c r="Q158" s="43">
        <f>Q159</f>
        <v>0</v>
      </c>
    </row>
    <row r="159" spans="1:17" x14ac:dyDescent="0.25">
      <c r="A159" s="96" t="s">
        <v>297</v>
      </c>
      <c r="B159" s="97" t="s">
        <v>397</v>
      </c>
      <c r="C159" s="98" t="s">
        <v>331</v>
      </c>
      <c r="D159" s="98" t="s">
        <v>175</v>
      </c>
      <c r="E159" s="50" t="s">
        <v>349</v>
      </c>
      <c r="F159" s="50">
        <v>600</v>
      </c>
      <c r="G159" s="51">
        <v>1600000</v>
      </c>
      <c r="H159" s="51">
        <v>0</v>
      </c>
      <c r="I159" s="103">
        <f>G159+H159</f>
        <v>1600000</v>
      </c>
      <c r="J159" s="51">
        <v>0</v>
      </c>
      <c r="K159" s="103">
        <f>I159+J159</f>
        <v>1600000</v>
      </c>
      <c r="L159" s="51">
        <v>0</v>
      </c>
      <c r="M159" s="51">
        <v>0</v>
      </c>
      <c r="N159" s="103">
        <f>L159+M159</f>
        <v>0</v>
      </c>
      <c r="O159" s="51">
        <v>0</v>
      </c>
      <c r="P159" s="51">
        <v>0</v>
      </c>
      <c r="Q159" s="103">
        <f>O159+P159</f>
        <v>0</v>
      </c>
    </row>
    <row r="160" spans="1:17" ht="28.5" customHeight="1" x14ac:dyDescent="0.25">
      <c r="A160" s="34" t="s">
        <v>350</v>
      </c>
      <c r="B160" s="35" t="s">
        <v>397</v>
      </c>
      <c r="C160" s="36" t="s">
        <v>331</v>
      </c>
      <c r="D160" s="36" t="s">
        <v>175</v>
      </c>
      <c r="E160" s="36" t="s">
        <v>351</v>
      </c>
      <c r="F160" s="36" t="s">
        <v>0</v>
      </c>
      <c r="G160" s="43">
        <f>G161+G162</f>
        <v>1048500</v>
      </c>
      <c r="H160" s="43">
        <f>H161+H162</f>
        <v>1499600</v>
      </c>
      <c r="I160" s="43">
        <f>I161+I162</f>
        <v>2548100</v>
      </c>
      <c r="J160" s="43">
        <f>J161+J162</f>
        <v>0</v>
      </c>
      <c r="K160" s="43">
        <f>K161+K162</f>
        <v>2548100</v>
      </c>
      <c r="L160" s="43">
        <f t="shared" ref="L160:O160" si="65">L161+L162</f>
        <v>1048500</v>
      </c>
      <c r="M160" s="43">
        <f>M161+M162</f>
        <v>0</v>
      </c>
      <c r="N160" s="43">
        <f>N161+N162</f>
        <v>1048500</v>
      </c>
      <c r="O160" s="43">
        <f t="shared" si="65"/>
        <v>1048500</v>
      </c>
      <c r="P160" s="43">
        <f>P161+P162</f>
        <v>0</v>
      </c>
      <c r="Q160" s="43">
        <f>Q161+Q162</f>
        <v>1048500</v>
      </c>
    </row>
    <row r="161" spans="1:17" x14ac:dyDescent="0.25">
      <c r="A161" s="96" t="s">
        <v>387</v>
      </c>
      <c r="B161" s="97" t="s">
        <v>397</v>
      </c>
      <c r="C161" s="98" t="s">
        <v>331</v>
      </c>
      <c r="D161" s="98" t="s">
        <v>175</v>
      </c>
      <c r="E161" s="98" t="s">
        <v>351</v>
      </c>
      <c r="F161" s="98" t="s">
        <v>158</v>
      </c>
      <c r="G161" s="103">
        <v>297000</v>
      </c>
      <c r="H161" s="103">
        <v>0</v>
      </c>
      <c r="I161" s="103">
        <f>G161+H161</f>
        <v>297000</v>
      </c>
      <c r="J161" s="103">
        <v>0</v>
      </c>
      <c r="K161" s="103">
        <f>I161+J161</f>
        <v>297000</v>
      </c>
      <c r="L161" s="103">
        <v>297000</v>
      </c>
      <c r="M161" s="103">
        <v>0</v>
      </c>
      <c r="N161" s="103">
        <f>L161+M161</f>
        <v>297000</v>
      </c>
      <c r="O161" s="103">
        <v>297000</v>
      </c>
      <c r="P161" s="103">
        <v>0</v>
      </c>
      <c r="Q161" s="103">
        <f>O161+P161</f>
        <v>297000</v>
      </c>
    </row>
    <row r="162" spans="1:17" x14ac:dyDescent="0.25">
      <c r="A162" s="96" t="s">
        <v>209</v>
      </c>
      <c r="B162" s="97" t="s">
        <v>397</v>
      </c>
      <c r="C162" s="98" t="s">
        <v>331</v>
      </c>
      <c r="D162" s="98" t="s">
        <v>175</v>
      </c>
      <c r="E162" s="98" t="s">
        <v>351</v>
      </c>
      <c r="F162" s="98">
        <v>300</v>
      </c>
      <c r="G162" s="103">
        <v>751500</v>
      </c>
      <c r="H162" s="103">
        <f>1500000-400</f>
        <v>1499600</v>
      </c>
      <c r="I162" s="103">
        <f>G162+H162</f>
        <v>2251100</v>
      </c>
      <c r="J162" s="103">
        <v>0</v>
      </c>
      <c r="K162" s="103">
        <f>I162+J162</f>
        <v>2251100</v>
      </c>
      <c r="L162" s="103">
        <v>751500</v>
      </c>
      <c r="M162" s="103">
        <v>0</v>
      </c>
      <c r="N162" s="103">
        <f>L162+M162</f>
        <v>751500</v>
      </c>
      <c r="O162" s="103">
        <v>751500</v>
      </c>
      <c r="P162" s="103">
        <v>0</v>
      </c>
      <c r="Q162" s="103">
        <f>O162+P162</f>
        <v>751500</v>
      </c>
    </row>
    <row r="163" spans="1:17" x14ac:dyDescent="0.25">
      <c r="A163" s="34" t="s">
        <v>352</v>
      </c>
      <c r="B163" s="35" t="s">
        <v>397</v>
      </c>
      <c r="C163" s="36" t="s">
        <v>331</v>
      </c>
      <c r="D163" s="36" t="s">
        <v>175</v>
      </c>
      <c r="E163" s="36" t="s">
        <v>353</v>
      </c>
      <c r="F163" s="36"/>
      <c r="G163" s="43">
        <f>G164+G165</f>
        <v>1091100</v>
      </c>
      <c r="H163" s="43">
        <f>H164+H165</f>
        <v>0</v>
      </c>
      <c r="I163" s="43">
        <f>I164+I165</f>
        <v>1091100</v>
      </c>
      <c r="J163" s="43">
        <f>J164+J165</f>
        <v>0</v>
      </c>
      <c r="K163" s="43">
        <f>K164+K165</f>
        <v>1091100</v>
      </c>
      <c r="L163" s="43">
        <f t="shared" ref="L163:O163" si="66">L164+L165</f>
        <v>1091100</v>
      </c>
      <c r="M163" s="43">
        <f>M164+M165</f>
        <v>0</v>
      </c>
      <c r="N163" s="43">
        <f>N164+N165</f>
        <v>1091100</v>
      </c>
      <c r="O163" s="43">
        <f t="shared" si="66"/>
        <v>1091100</v>
      </c>
      <c r="P163" s="43">
        <f>P164+P165</f>
        <v>0</v>
      </c>
      <c r="Q163" s="43">
        <f>Q164+Q165</f>
        <v>1091100</v>
      </c>
    </row>
    <row r="164" spans="1:17" ht="30" x14ac:dyDescent="0.25">
      <c r="A164" s="96" t="s">
        <v>153</v>
      </c>
      <c r="B164" s="97" t="s">
        <v>397</v>
      </c>
      <c r="C164" s="98" t="s">
        <v>331</v>
      </c>
      <c r="D164" s="98" t="s">
        <v>175</v>
      </c>
      <c r="E164" s="98" t="s">
        <v>353</v>
      </c>
      <c r="F164" s="98">
        <v>200</v>
      </c>
      <c r="G164" s="103">
        <v>376100</v>
      </c>
      <c r="H164" s="103">
        <v>0</v>
      </c>
      <c r="I164" s="103">
        <f>G164+H164</f>
        <v>376100</v>
      </c>
      <c r="J164" s="103">
        <v>0</v>
      </c>
      <c r="K164" s="103">
        <f>I164+J164</f>
        <v>376100</v>
      </c>
      <c r="L164" s="103">
        <v>376100</v>
      </c>
      <c r="M164" s="103">
        <v>0</v>
      </c>
      <c r="N164" s="103">
        <f>L164+M164</f>
        <v>376100</v>
      </c>
      <c r="O164" s="103">
        <v>376100</v>
      </c>
      <c r="P164" s="103">
        <v>0</v>
      </c>
      <c r="Q164" s="103">
        <f>O164+P164</f>
        <v>376100</v>
      </c>
    </row>
    <row r="165" spans="1:17" x14ac:dyDescent="0.25">
      <c r="A165" s="96" t="s">
        <v>209</v>
      </c>
      <c r="B165" s="97" t="s">
        <v>397</v>
      </c>
      <c r="C165" s="98" t="s">
        <v>331</v>
      </c>
      <c r="D165" s="98" t="s">
        <v>175</v>
      </c>
      <c r="E165" s="98" t="s">
        <v>353</v>
      </c>
      <c r="F165" s="98">
        <v>300</v>
      </c>
      <c r="G165" s="103">
        <v>715000</v>
      </c>
      <c r="H165" s="103">
        <v>0</v>
      </c>
      <c r="I165" s="103">
        <f>G165+H165</f>
        <v>715000</v>
      </c>
      <c r="J165" s="103">
        <v>0</v>
      </c>
      <c r="K165" s="103">
        <f>I165+J165</f>
        <v>715000</v>
      </c>
      <c r="L165" s="103">
        <v>715000</v>
      </c>
      <c r="M165" s="103">
        <v>0</v>
      </c>
      <c r="N165" s="103">
        <f>L165+M165</f>
        <v>715000</v>
      </c>
      <c r="O165" s="103">
        <v>715000</v>
      </c>
      <c r="P165" s="103">
        <v>0</v>
      </c>
      <c r="Q165" s="103">
        <f>O165+P165</f>
        <v>715000</v>
      </c>
    </row>
    <row r="166" spans="1:17" x14ac:dyDescent="0.25">
      <c r="A166" s="60" t="s">
        <v>313</v>
      </c>
      <c r="B166" s="32" t="s">
        <v>397</v>
      </c>
      <c r="C166" s="32" t="s">
        <v>331</v>
      </c>
      <c r="D166" s="32" t="s">
        <v>175</v>
      </c>
      <c r="E166" s="32" t="s">
        <v>335</v>
      </c>
      <c r="F166" s="36"/>
      <c r="G166" s="43">
        <f>G167</f>
        <v>12209447</v>
      </c>
      <c r="H166" s="43">
        <f>H167</f>
        <v>-2116625</v>
      </c>
      <c r="I166" s="43">
        <f>I167</f>
        <v>10092822</v>
      </c>
      <c r="J166" s="43">
        <f>J167</f>
        <v>0</v>
      </c>
      <c r="K166" s="43">
        <f>K167</f>
        <v>10092822</v>
      </c>
      <c r="L166" s="43">
        <f t="shared" ref="L166:O166" si="67">L167</f>
        <v>2571522</v>
      </c>
      <c r="M166" s="43">
        <f>M167</f>
        <v>0</v>
      </c>
      <c r="N166" s="43">
        <f>N167</f>
        <v>2571522</v>
      </c>
      <c r="O166" s="43">
        <f t="shared" si="67"/>
        <v>2571522</v>
      </c>
      <c r="P166" s="43">
        <f>P167</f>
        <v>0</v>
      </c>
      <c r="Q166" s="43">
        <f>Q167</f>
        <v>2571522</v>
      </c>
    </row>
    <row r="167" spans="1:17" ht="29.25" customHeight="1" x14ac:dyDescent="0.25">
      <c r="A167" s="48" t="s">
        <v>354</v>
      </c>
      <c r="B167" s="36" t="s">
        <v>397</v>
      </c>
      <c r="C167" s="36" t="s">
        <v>331</v>
      </c>
      <c r="D167" s="36" t="s">
        <v>175</v>
      </c>
      <c r="E167" s="36" t="s">
        <v>355</v>
      </c>
      <c r="F167" s="36"/>
      <c r="G167" s="77">
        <f>G168+G169+G170</f>
        <v>12209447</v>
      </c>
      <c r="H167" s="77">
        <f>H168+H169+H170</f>
        <v>-2116625</v>
      </c>
      <c r="I167" s="77">
        <f>I168+I169+I170</f>
        <v>10092822</v>
      </c>
      <c r="J167" s="77">
        <f>J168+J169+J170</f>
        <v>0</v>
      </c>
      <c r="K167" s="77">
        <f>K168+K169+K170</f>
        <v>10092822</v>
      </c>
      <c r="L167" s="77">
        <f t="shared" ref="L167:O167" si="68">L168+L169+L170</f>
        <v>2571522</v>
      </c>
      <c r="M167" s="77">
        <f>M168+M169+M170</f>
        <v>0</v>
      </c>
      <c r="N167" s="77">
        <f>N168+N169+N170</f>
        <v>2571522</v>
      </c>
      <c r="O167" s="77">
        <f t="shared" si="68"/>
        <v>2571522</v>
      </c>
      <c r="P167" s="77">
        <f>P168+P169+P170</f>
        <v>0</v>
      </c>
      <c r="Q167" s="77">
        <f>Q168+Q169+Q170</f>
        <v>2571522</v>
      </c>
    </row>
    <row r="168" spans="1:17" ht="30" x14ac:dyDescent="0.25">
      <c r="A168" s="96" t="s">
        <v>153</v>
      </c>
      <c r="B168" s="49" t="s">
        <v>397</v>
      </c>
      <c r="C168" s="50" t="s">
        <v>331</v>
      </c>
      <c r="D168" s="50" t="s">
        <v>175</v>
      </c>
      <c r="E168" s="50" t="s">
        <v>355</v>
      </c>
      <c r="F168" s="50">
        <v>200</v>
      </c>
      <c r="G168" s="51">
        <v>45000</v>
      </c>
      <c r="H168" s="51">
        <v>0</v>
      </c>
      <c r="I168" s="103">
        <f>G168+H168</f>
        <v>45000</v>
      </c>
      <c r="J168" s="51">
        <v>0</v>
      </c>
      <c r="K168" s="103">
        <f>I168+J168</f>
        <v>45000</v>
      </c>
      <c r="L168" s="51">
        <v>45000</v>
      </c>
      <c r="M168" s="51">
        <v>0</v>
      </c>
      <c r="N168" s="103">
        <f>L168+M168</f>
        <v>45000</v>
      </c>
      <c r="O168" s="51">
        <v>45000</v>
      </c>
      <c r="P168" s="51">
        <v>0</v>
      </c>
      <c r="Q168" s="103">
        <f>O168+P168</f>
        <v>45000</v>
      </c>
    </row>
    <row r="169" spans="1:17" x14ac:dyDescent="0.25">
      <c r="A169" s="96" t="s">
        <v>209</v>
      </c>
      <c r="B169" s="49" t="s">
        <v>397</v>
      </c>
      <c r="C169" s="50" t="s">
        <v>331</v>
      </c>
      <c r="D169" s="50" t="s">
        <v>175</v>
      </c>
      <c r="E169" s="50" t="s">
        <v>355</v>
      </c>
      <c r="F169" s="50">
        <v>300</v>
      </c>
      <c r="G169" s="51">
        <v>3126522</v>
      </c>
      <c r="H169" s="51">
        <v>0</v>
      </c>
      <c r="I169" s="103">
        <f>G169+H169</f>
        <v>3126522</v>
      </c>
      <c r="J169" s="51">
        <v>0</v>
      </c>
      <c r="K169" s="103">
        <f>I169+J169</f>
        <v>3126522</v>
      </c>
      <c r="L169" s="51">
        <v>2126522</v>
      </c>
      <c r="M169" s="51">
        <v>0</v>
      </c>
      <c r="N169" s="103">
        <f>L169+M169</f>
        <v>2126522</v>
      </c>
      <c r="O169" s="51">
        <v>2126522</v>
      </c>
      <c r="P169" s="51">
        <v>0</v>
      </c>
      <c r="Q169" s="103">
        <f>O169+P169</f>
        <v>2126522</v>
      </c>
    </row>
    <row r="170" spans="1:17" x14ac:dyDescent="0.25">
      <c r="A170" s="96" t="s">
        <v>172</v>
      </c>
      <c r="B170" s="97" t="s">
        <v>397</v>
      </c>
      <c r="C170" s="98" t="s">
        <v>331</v>
      </c>
      <c r="D170" s="98" t="s">
        <v>175</v>
      </c>
      <c r="E170" s="98" t="s">
        <v>355</v>
      </c>
      <c r="F170" s="98">
        <v>800</v>
      </c>
      <c r="G170" s="103">
        <f>800000+8237925</f>
        <v>9037925</v>
      </c>
      <c r="H170" s="103">
        <v>-2116625</v>
      </c>
      <c r="I170" s="103">
        <f>G170+H170</f>
        <v>6921300</v>
      </c>
      <c r="J170" s="103">
        <v>0</v>
      </c>
      <c r="K170" s="103">
        <f>I170+J170</f>
        <v>6921300</v>
      </c>
      <c r="L170" s="103">
        <v>400000</v>
      </c>
      <c r="M170" s="103">
        <v>0</v>
      </c>
      <c r="N170" s="103">
        <f>L170+M170</f>
        <v>400000</v>
      </c>
      <c r="O170" s="103">
        <v>400000</v>
      </c>
      <c r="P170" s="103">
        <v>0</v>
      </c>
      <c r="Q170" s="103">
        <f>O170+P170</f>
        <v>400000</v>
      </c>
    </row>
    <row r="171" spans="1:17" x14ac:dyDescent="0.25">
      <c r="A171" s="30" t="s">
        <v>356</v>
      </c>
      <c r="B171" s="31" t="s">
        <v>397</v>
      </c>
      <c r="C171" s="32" t="s">
        <v>179</v>
      </c>
      <c r="D171" s="32" t="s">
        <v>0</v>
      </c>
      <c r="E171" s="32" t="s">
        <v>0</v>
      </c>
      <c r="F171" s="32" t="s">
        <v>0</v>
      </c>
      <c r="G171" s="74">
        <f t="shared" ref="G171:Q175" si="69">G172</f>
        <v>39860582.539999999</v>
      </c>
      <c r="H171" s="74">
        <f t="shared" si="69"/>
        <v>1500000</v>
      </c>
      <c r="I171" s="74">
        <f t="shared" si="69"/>
        <v>41360582.539999999</v>
      </c>
      <c r="J171" s="74">
        <f t="shared" si="69"/>
        <v>0</v>
      </c>
      <c r="K171" s="74">
        <f t="shared" si="69"/>
        <v>41360582.539999999</v>
      </c>
      <c r="L171" s="74">
        <f t="shared" si="69"/>
        <v>41874640.369999997</v>
      </c>
      <c r="M171" s="74">
        <f t="shared" si="69"/>
        <v>0</v>
      </c>
      <c r="N171" s="74">
        <f t="shared" si="69"/>
        <v>41874640.369999997</v>
      </c>
      <c r="O171" s="74">
        <f t="shared" si="69"/>
        <v>43054995.619999997</v>
      </c>
      <c r="P171" s="74">
        <f t="shared" si="69"/>
        <v>0</v>
      </c>
      <c r="Q171" s="74">
        <f t="shared" si="69"/>
        <v>43054995.619999997</v>
      </c>
    </row>
    <row r="172" spans="1:17" x14ac:dyDescent="0.25">
      <c r="A172" s="30" t="s">
        <v>357</v>
      </c>
      <c r="B172" s="31" t="s">
        <v>397</v>
      </c>
      <c r="C172" s="32" t="s">
        <v>179</v>
      </c>
      <c r="D172" s="32" t="s">
        <v>234</v>
      </c>
      <c r="E172" s="32" t="s">
        <v>0</v>
      </c>
      <c r="F172" s="32" t="s">
        <v>0</v>
      </c>
      <c r="G172" s="74">
        <f t="shared" si="69"/>
        <v>39860582.539999999</v>
      </c>
      <c r="H172" s="74">
        <f t="shared" si="69"/>
        <v>1500000</v>
      </c>
      <c r="I172" s="74">
        <f t="shared" si="69"/>
        <v>41360582.539999999</v>
      </c>
      <c r="J172" s="74">
        <f t="shared" si="69"/>
        <v>0</v>
      </c>
      <c r="K172" s="74">
        <f t="shared" si="69"/>
        <v>41360582.539999999</v>
      </c>
      <c r="L172" s="74">
        <f t="shared" si="69"/>
        <v>41874640.369999997</v>
      </c>
      <c r="M172" s="74">
        <f t="shared" si="69"/>
        <v>0</v>
      </c>
      <c r="N172" s="74">
        <f t="shared" si="69"/>
        <v>41874640.369999997</v>
      </c>
      <c r="O172" s="74">
        <f t="shared" si="69"/>
        <v>43054995.619999997</v>
      </c>
      <c r="P172" s="74">
        <f t="shared" si="69"/>
        <v>0</v>
      </c>
      <c r="Q172" s="74">
        <f t="shared" si="69"/>
        <v>43054995.619999997</v>
      </c>
    </row>
    <row r="173" spans="1:17" x14ac:dyDescent="0.25">
      <c r="A173" s="30" t="s">
        <v>358</v>
      </c>
      <c r="B173" s="31" t="s">
        <v>397</v>
      </c>
      <c r="C173" s="32" t="s">
        <v>179</v>
      </c>
      <c r="D173" s="32" t="s">
        <v>234</v>
      </c>
      <c r="E173" s="32" t="s">
        <v>359</v>
      </c>
      <c r="F173" s="32" t="s">
        <v>0</v>
      </c>
      <c r="G173" s="74">
        <f t="shared" si="69"/>
        <v>39860582.539999999</v>
      </c>
      <c r="H173" s="74">
        <f t="shared" si="69"/>
        <v>1500000</v>
      </c>
      <c r="I173" s="74">
        <f t="shared" si="69"/>
        <v>41360582.539999999</v>
      </c>
      <c r="J173" s="74">
        <f t="shared" si="69"/>
        <v>0</v>
      </c>
      <c r="K173" s="74">
        <f t="shared" si="69"/>
        <v>41360582.539999999</v>
      </c>
      <c r="L173" s="74">
        <f t="shared" si="69"/>
        <v>41874640.369999997</v>
      </c>
      <c r="M173" s="74">
        <f t="shared" si="69"/>
        <v>0</v>
      </c>
      <c r="N173" s="74">
        <f t="shared" si="69"/>
        <v>41874640.369999997</v>
      </c>
      <c r="O173" s="74">
        <f t="shared" si="69"/>
        <v>43054995.619999997</v>
      </c>
      <c r="P173" s="74">
        <f t="shared" si="69"/>
        <v>0</v>
      </c>
      <c r="Q173" s="74">
        <f t="shared" si="69"/>
        <v>43054995.619999997</v>
      </c>
    </row>
    <row r="174" spans="1:17" x14ac:dyDescent="0.25">
      <c r="A174" s="30" t="s">
        <v>313</v>
      </c>
      <c r="B174" s="31" t="s">
        <v>397</v>
      </c>
      <c r="C174" s="32" t="s">
        <v>179</v>
      </c>
      <c r="D174" s="32" t="s">
        <v>234</v>
      </c>
      <c r="E174" s="32" t="s">
        <v>360</v>
      </c>
      <c r="F174" s="32"/>
      <c r="G174" s="74">
        <f t="shared" si="69"/>
        <v>39860582.539999999</v>
      </c>
      <c r="H174" s="74">
        <f t="shared" si="69"/>
        <v>1500000</v>
      </c>
      <c r="I174" s="74">
        <f t="shared" si="69"/>
        <v>41360582.539999999</v>
      </c>
      <c r="J174" s="74">
        <f t="shared" si="69"/>
        <v>0</v>
      </c>
      <c r="K174" s="74">
        <f t="shared" si="69"/>
        <v>41360582.539999999</v>
      </c>
      <c r="L174" s="74">
        <f t="shared" si="69"/>
        <v>41874640.369999997</v>
      </c>
      <c r="M174" s="74">
        <f t="shared" si="69"/>
        <v>0</v>
      </c>
      <c r="N174" s="74">
        <f t="shared" si="69"/>
        <v>41874640.369999997</v>
      </c>
      <c r="O174" s="74">
        <f t="shared" si="69"/>
        <v>43054995.619999997</v>
      </c>
      <c r="P174" s="74">
        <f t="shared" si="69"/>
        <v>0</v>
      </c>
      <c r="Q174" s="74">
        <f t="shared" si="69"/>
        <v>43054995.619999997</v>
      </c>
    </row>
    <row r="175" spans="1:17" ht="27" x14ac:dyDescent="0.25">
      <c r="A175" s="34" t="s">
        <v>315</v>
      </c>
      <c r="B175" s="35" t="s">
        <v>397</v>
      </c>
      <c r="C175" s="36" t="s">
        <v>179</v>
      </c>
      <c r="D175" s="36" t="s">
        <v>234</v>
      </c>
      <c r="E175" s="36" t="s">
        <v>361</v>
      </c>
      <c r="F175" s="36" t="s">
        <v>0</v>
      </c>
      <c r="G175" s="75">
        <f t="shared" si="69"/>
        <v>39860582.539999999</v>
      </c>
      <c r="H175" s="75">
        <f t="shared" si="69"/>
        <v>1500000</v>
      </c>
      <c r="I175" s="75">
        <f t="shared" si="69"/>
        <v>41360582.539999999</v>
      </c>
      <c r="J175" s="75">
        <f t="shared" si="69"/>
        <v>0</v>
      </c>
      <c r="K175" s="75">
        <f t="shared" si="69"/>
        <v>41360582.539999999</v>
      </c>
      <c r="L175" s="78">
        <f t="shared" si="69"/>
        <v>41874640.369999997</v>
      </c>
      <c r="M175" s="75">
        <f t="shared" si="69"/>
        <v>0</v>
      </c>
      <c r="N175" s="75">
        <f t="shared" si="69"/>
        <v>41874640.369999997</v>
      </c>
      <c r="O175" s="78">
        <f t="shared" si="69"/>
        <v>43054995.619999997</v>
      </c>
      <c r="P175" s="75">
        <f t="shared" si="69"/>
        <v>0</v>
      </c>
      <c r="Q175" s="75">
        <f t="shared" si="69"/>
        <v>43054995.619999997</v>
      </c>
    </row>
    <row r="176" spans="1:17" ht="17.45" customHeight="1" x14ac:dyDescent="0.25">
      <c r="A176" s="105" t="s">
        <v>305</v>
      </c>
      <c r="B176" s="50" t="s">
        <v>397</v>
      </c>
      <c r="C176" s="98" t="s">
        <v>179</v>
      </c>
      <c r="D176" s="98" t="s">
        <v>234</v>
      </c>
      <c r="E176" s="98" t="s">
        <v>361</v>
      </c>
      <c r="F176" s="98">
        <v>600</v>
      </c>
      <c r="G176" s="103">
        <v>39860582.539999999</v>
      </c>
      <c r="H176" s="103">
        <v>1500000</v>
      </c>
      <c r="I176" s="103">
        <f>G176+H176</f>
        <v>41360582.539999999</v>
      </c>
      <c r="J176" s="103">
        <v>0</v>
      </c>
      <c r="K176" s="103">
        <f>I176+J176</f>
        <v>41360582.539999999</v>
      </c>
      <c r="L176" s="103">
        <v>41874640.369999997</v>
      </c>
      <c r="M176" s="103">
        <v>0</v>
      </c>
      <c r="N176" s="103">
        <f>L176+M176</f>
        <v>41874640.369999997</v>
      </c>
      <c r="O176" s="103">
        <v>43054995.619999997</v>
      </c>
      <c r="P176" s="103">
        <v>0</v>
      </c>
      <c r="Q176" s="103">
        <f>O176+P176</f>
        <v>43054995.619999997</v>
      </c>
    </row>
    <row r="177" spans="1:17" x14ac:dyDescent="0.25">
      <c r="A177" s="30" t="s">
        <v>362</v>
      </c>
      <c r="B177" s="31" t="s">
        <v>397</v>
      </c>
      <c r="C177" s="32" t="s">
        <v>256</v>
      </c>
      <c r="D177" s="32" t="s">
        <v>0</v>
      </c>
      <c r="E177" s="32" t="s">
        <v>0</v>
      </c>
      <c r="F177" s="32" t="s">
        <v>0</v>
      </c>
      <c r="G177" s="42">
        <f t="shared" ref="G177:Q181" si="70">G178</f>
        <v>2655457.7999999998</v>
      </c>
      <c r="H177" s="42">
        <f t="shared" si="70"/>
        <v>29800</v>
      </c>
      <c r="I177" s="42">
        <f t="shared" si="70"/>
        <v>2685257.8</v>
      </c>
      <c r="J177" s="42">
        <f t="shared" si="70"/>
        <v>0</v>
      </c>
      <c r="K177" s="42">
        <f t="shared" si="70"/>
        <v>2685257.8</v>
      </c>
      <c r="L177" s="42">
        <f t="shared" si="70"/>
        <v>2655457.7999999998</v>
      </c>
      <c r="M177" s="42">
        <f t="shared" si="70"/>
        <v>0</v>
      </c>
      <c r="N177" s="42">
        <f t="shared" si="70"/>
        <v>2655457.7999999998</v>
      </c>
      <c r="O177" s="42">
        <f t="shared" si="70"/>
        <v>2655457.7999999998</v>
      </c>
      <c r="P177" s="42">
        <f t="shared" si="70"/>
        <v>0</v>
      </c>
      <c r="Q177" s="42">
        <f t="shared" si="70"/>
        <v>2655457.7999999998</v>
      </c>
    </row>
    <row r="178" spans="1:17" x14ac:dyDescent="0.25">
      <c r="A178" s="30" t="s">
        <v>363</v>
      </c>
      <c r="B178" s="31" t="s">
        <v>397</v>
      </c>
      <c r="C178" s="32" t="s">
        <v>256</v>
      </c>
      <c r="D178" s="32" t="s">
        <v>162</v>
      </c>
      <c r="E178" s="32" t="s">
        <v>0</v>
      </c>
      <c r="F178" s="32" t="s">
        <v>0</v>
      </c>
      <c r="G178" s="42">
        <f t="shared" si="70"/>
        <v>2655457.7999999998</v>
      </c>
      <c r="H178" s="42">
        <f t="shared" si="70"/>
        <v>29800</v>
      </c>
      <c r="I178" s="42">
        <f t="shared" si="70"/>
        <v>2685257.8</v>
      </c>
      <c r="J178" s="42">
        <f t="shared" si="70"/>
        <v>0</v>
      </c>
      <c r="K178" s="42">
        <f t="shared" si="70"/>
        <v>2685257.8</v>
      </c>
      <c r="L178" s="42">
        <f t="shared" si="70"/>
        <v>2655457.7999999998</v>
      </c>
      <c r="M178" s="42">
        <f t="shared" si="70"/>
        <v>0</v>
      </c>
      <c r="N178" s="42">
        <f t="shared" si="70"/>
        <v>2655457.7999999998</v>
      </c>
      <c r="O178" s="42">
        <f t="shared" si="70"/>
        <v>2655457.7999999998</v>
      </c>
      <c r="P178" s="42">
        <f t="shared" si="70"/>
        <v>0</v>
      </c>
      <c r="Q178" s="42">
        <f t="shared" si="70"/>
        <v>2655457.7999999998</v>
      </c>
    </row>
    <row r="179" spans="1:17" x14ac:dyDescent="0.25">
      <c r="A179" s="30" t="s">
        <v>364</v>
      </c>
      <c r="B179" s="31" t="s">
        <v>397</v>
      </c>
      <c r="C179" s="32" t="s">
        <v>256</v>
      </c>
      <c r="D179" s="32" t="s">
        <v>162</v>
      </c>
      <c r="E179" s="32" t="s">
        <v>365</v>
      </c>
      <c r="F179" s="32" t="s">
        <v>0</v>
      </c>
      <c r="G179" s="42">
        <f t="shared" si="70"/>
        <v>2655457.7999999998</v>
      </c>
      <c r="H179" s="42">
        <f t="shared" si="70"/>
        <v>29800</v>
      </c>
      <c r="I179" s="42">
        <f t="shared" si="70"/>
        <v>2685257.8</v>
      </c>
      <c r="J179" s="42">
        <f t="shared" si="70"/>
        <v>0</v>
      </c>
      <c r="K179" s="42">
        <f t="shared" si="70"/>
        <v>2685257.8</v>
      </c>
      <c r="L179" s="42">
        <f t="shared" si="70"/>
        <v>2655457.7999999998</v>
      </c>
      <c r="M179" s="42">
        <f t="shared" si="70"/>
        <v>0</v>
      </c>
      <c r="N179" s="42">
        <f t="shared" si="70"/>
        <v>2655457.7999999998</v>
      </c>
      <c r="O179" s="42">
        <f t="shared" si="70"/>
        <v>2655457.7999999998</v>
      </c>
      <c r="P179" s="42">
        <f t="shared" si="70"/>
        <v>0</v>
      </c>
      <c r="Q179" s="42">
        <f t="shared" si="70"/>
        <v>2655457.7999999998</v>
      </c>
    </row>
    <row r="180" spans="1:17" ht="15" customHeight="1" x14ac:dyDescent="0.25">
      <c r="A180" s="30" t="s">
        <v>165</v>
      </c>
      <c r="B180" s="31" t="s">
        <v>397</v>
      </c>
      <c r="C180" s="32" t="s">
        <v>256</v>
      </c>
      <c r="D180" s="32" t="s">
        <v>162</v>
      </c>
      <c r="E180" s="32" t="s">
        <v>366</v>
      </c>
      <c r="F180" s="32" t="s">
        <v>0</v>
      </c>
      <c r="G180" s="42">
        <f t="shared" si="70"/>
        <v>2655457.7999999998</v>
      </c>
      <c r="H180" s="42">
        <f t="shared" si="70"/>
        <v>29800</v>
      </c>
      <c r="I180" s="42">
        <f t="shared" si="70"/>
        <v>2685257.8</v>
      </c>
      <c r="J180" s="42">
        <f t="shared" si="70"/>
        <v>0</v>
      </c>
      <c r="K180" s="42">
        <f t="shared" si="70"/>
        <v>2685257.8</v>
      </c>
      <c r="L180" s="42">
        <f t="shared" si="70"/>
        <v>2655457.7999999998</v>
      </c>
      <c r="M180" s="42">
        <f t="shared" si="70"/>
        <v>0</v>
      </c>
      <c r="N180" s="42">
        <f t="shared" si="70"/>
        <v>2655457.7999999998</v>
      </c>
      <c r="O180" s="42">
        <f t="shared" si="70"/>
        <v>2655457.7999999998</v>
      </c>
      <c r="P180" s="42">
        <f t="shared" si="70"/>
        <v>0</v>
      </c>
      <c r="Q180" s="42">
        <f t="shared" si="70"/>
        <v>2655457.7999999998</v>
      </c>
    </row>
    <row r="181" spans="1:17" x14ac:dyDescent="0.25">
      <c r="A181" s="34" t="s">
        <v>367</v>
      </c>
      <c r="B181" s="35" t="s">
        <v>397</v>
      </c>
      <c r="C181" s="36" t="s">
        <v>256</v>
      </c>
      <c r="D181" s="36" t="s">
        <v>162</v>
      </c>
      <c r="E181" s="36" t="s">
        <v>368</v>
      </c>
      <c r="F181" s="36" t="s">
        <v>0</v>
      </c>
      <c r="G181" s="43">
        <f t="shared" si="70"/>
        <v>2655457.7999999998</v>
      </c>
      <c r="H181" s="43">
        <f t="shared" si="70"/>
        <v>29800</v>
      </c>
      <c r="I181" s="43">
        <f t="shared" si="70"/>
        <v>2685257.8</v>
      </c>
      <c r="J181" s="43">
        <f t="shared" si="70"/>
        <v>0</v>
      </c>
      <c r="K181" s="43">
        <f t="shared" si="70"/>
        <v>2685257.8</v>
      </c>
      <c r="L181" s="43">
        <f t="shared" si="70"/>
        <v>2655457.7999999998</v>
      </c>
      <c r="M181" s="43">
        <f t="shared" si="70"/>
        <v>0</v>
      </c>
      <c r="N181" s="43">
        <f t="shared" si="70"/>
        <v>2655457.7999999998</v>
      </c>
      <c r="O181" s="43">
        <f t="shared" si="70"/>
        <v>2655457.7999999998</v>
      </c>
      <c r="P181" s="43">
        <f t="shared" si="70"/>
        <v>0</v>
      </c>
      <c r="Q181" s="43">
        <f t="shared" si="70"/>
        <v>2655457.7999999998</v>
      </c>
    </row>
    <row r="182" spans="1:17" ht="30" x14ac:dyDescent="0.25">
      <c r="A182" s="96" t="s">
        <v>153</v>
      </c>
      <c r="B182" s="97" t="s">
        <v>397</v>
      </c>
      <c r="C182" s="98" t="s">
        <v>256</v>
      </c>
      <c r="D182" s="98" t="s">
        <v>162</v>
      </c>
      <c r="E182" s="98" t="s">
        <v>368</v>
      </c>
      <c r="F182" s="98" t="s">
        <v>158</v>
      </c>
      <c r="G182" s="103">
        <v>2655457.7999999998</v>
      </c>
      <c r="H182" s="103">
        <v>29800</v>
      </c>
      <c r="I182" s="103">
        <f>G182+H182</f>
        <v>2685257.8</v>
      </c>
      <c r="J182" s="103">
        <v>0</v>
      </c>
      <c r="K182" s="103">
        <f>I182+J182</f>
        <v>2685257.8</v>
      </c>
      <c r="L182" s="103">
        <v>2655457.7999999998</v>
      </c>
      <c r="M182" s="103">
        <v>0</v>
      </c>
      <c r="N182" s="103">
        <f>L182+M182</f>
        <v>2655457.7999999998</v>
      </c>
      <c r="O182" s="103">
        <v>2655457.7999999998</v>
      </c>
      <c r="P182" s="103">
        <v>0</v>
      </c>
      <c r="Q182" s="103">
        <f>O182+P182</f>
        <v>2655457.7999999998</v>
      </c>
    </row>
    <row r="183" spans="1:17" ht="12.75" customHeight="1" x14ac:dyDescent="0.25">
      <c r="A183" s="30" t="s">
        <v>369</v>
      </c>
      <c r="B183" s="31" t="s">
        <v>397</v>
      </c>
      <c r="C183" s="32" t="s">
        <v>222</v>
      </c>
      <c r="D183" s="32" t="s">
        <v>0</v>
      </c>
      <c r="E183" s="32" t="s">
        <v>0</v>
      </c>
      <c r="F183" s="32" t="s">
        <v>0</v>
      </c>
      <c r="G183" s="42">
        <f t="shared" ref="G183:Q187" si="71">G184</f>
        <v>987439.46</v>
      </c>
      <c r="H183" s="42">
        <f t="shared" si="71"/>
        <v>0</v>
      </c>
      <c r="I183" s="42">
        <f t="shared" si="71"/>
        <v>987439.46</v>
      </c>
      <c r="J183" s="42">
        <f t="shared" si="71"/>
        <v>0</v>
      </c>
      <c r="K183" s="42">
        <f t="shared" si="71"/>
        <v>987439.46</v>
      </c>
      <c r="L183" s="42">
        <f t="shared" si="71"/>
        <v>987439.46</v>
      </c>
      <c r="M183" s="42">
        <f t="shared" si="71"/>
        <v>0</v>
      </c>
      <c r="N183" s="42">
        <f t="shared" si="71"/>
        <v>987439.46</v>
      </c>
      <c r="O183" s="42">
        <f t="shared" si="71"/>
        <v>987439.46</v>
      </c>
      <c r="P183" s="42">
        <f t="shared" si="71"/>
        <v>0</v>
      </c>
      <c r="Q183" s="42">
        <f t="shared" si="71"/>
        <v>987439.46</v>
      </c>
    </row>
    <row r="184" spans="1:17" x14ac:dyDescent="0.25">
      <c r="A184" s="30" t="s">
        <v>370</v>
      </c>
      <c r="B184" s="31" t="s">
        <v>397</v>
      </c>
      <c r="C184" s="32" t="s">
        <v>222</v>
      </c>
      <c r="D184" s="32" t="s">
        <v>155</v>
      </c>
      <c r="E184" s="32" t="s">
        <v>0</v>
      </c>
      <c r="F184" s="32" t="s">
        <v>0</v>
      </c>
      <c r="G184" s="42">
        <f t="shared" si="71"/>
        <v>987439.46</v>
      </c>
      <c r="H184" s="42">
        <f t="shared" si="71"/>
        <v>0</v>
      </c>
      <c r="I184" s="42">
        <f t="shared" si="71"/>
        <v>987439.46</v>
      </c>
      <c r="J184" s="42">
        <f t="shared" si="71"/>
        <v>0</v>
      </c>
      <c r="K184" s="42">
        <f t="shared" si="71"/>
        <v>987439.46</v>
      </c>
      <c r="L184" s="42">
        <f t="shared" si="71"/>
        <v>987439.46</v>
      </c>
      <c r="M184" s="42">
        <f t="shared" si="71"/>
        <v>0</v>
      </c>
      <c r="N184" s="42">
        <f t="shared" si="71"/>
        <v>987439.46</v>
      </c>
      <c r="O184" s="42">
        <f t="shared" si="71"/>
        <v>987439.46</v>
      </c>
      <c r="P184" s="42">
        <f t="shared" si="71"/>
        <v>0</v>
      </c>
      <c r="Q184" s="42">
        <f t="shared" si="71"/>
        <v>987439.46</v>
      </c>
    </row>
    <row r="185" spans="1:17" ht="14.45" customHeight="1" x14ac:dyDescent="0.25">
      <c r="A185" s="30" t="s">
        <v>145</v>
      </c>
      <c r="B185" s="31" t="s">
        <v>397</v>
      </c>
      <c r="C185" s="32" t="s">
        <v>222</v>
      </c>
      <c r="D185" s="32" t="s">
        <v>155</v>
      </c>
      <c r="E185" s="32" t="s">
        <v>146</v>
      </c>
      <c r="F185" s="32" t="s">
        <v>0</v>
      </c>
      <c r="G185" s="42">
        <f t="shared" si="71"/>
        <v>987439.46</v>
      </c>
      <c r="H185" s="42">
        <f t="shared" si="71"/>
        <v>0</v>
      </c>
      <c r="I185" s="42">
        <f t="shared" si="71"/>
        <v>987439.46</v>
      </c>
      <c r="J185" s="42">
        <f t="shared" si="71"/>
        <v>0</v>
      </c>
      <c r="K185" s="42">
        <f t="shared" si="71"/>
        <v>987439.46</v>
      </c>
      <c r="L185" s="42">
        <f t="shared" si="71"/>
        <v>987439.46</v>
      </c>
      <c r="M185" s="42">
        <f t="shared" si="71"/>
        <v>0</v>
      </c>
      <c r="N185" s="42">
        <f t="shared" si="71"/>
        <v>987439.46</v>
      </c>
      <c r="O185" s="42">
        <f t="shared" si="71"/>
        <v>987439.46</v>
      </c>
      <c r="P185" s="42">
        <f t="shared" si="71"/>
        <v>0</v>
      </c>
      <c r="Q185" s="42">
        <f t="shared" si="71"/>
        <v>987439.46</v>
      </c>
    </row>
    <row r="186" spans="1:17" x14ac:dyDescent="0.25">
      <c r="A186" s="30" t="s">
        <v>343</v>
      </c>
      <c r="B186" s="31" t="s">
        <v>397</v>
      </c>
      <c r="C186" s="32" t="s">
        <v>222</v>
      </c>
      <c r="D186" s="32" t="s">
        <v>155</v>
      </c>
      <c r="E186" s="32" t="s">
        <v>371</v>
      </c>
      <c r="F186" s="32" t="s">
        <v>0</v>
      </c>
      <c r="G186" s="42">
        <f t="shared" si="71"/>
        <v>987439.46</v>
      </c>
      <c r="H186" s="42">
        <f t="shared" si="71"/>
        <v>0</v>
      </c>
      <c r="I186" s="42">
        <f t="shared" si="71"/>
        <v>987439.46</v>
      </c>
      <c r="J186" s="42">
        <f t="shared" si="71"/>
        <v>0</v>
      </c>
      <c r="K186" s="42">
        <f t="shared" si="71"/>
        <v>987439.46</v>
      </c>
      <c r="L186" s="42">
        <f t="shared" si="71"/>
        <v>987439.46</v>
      </c>
      <c r="M186" s="42">
        <f t="shared" si="71"/>
        <v>0</v>
      </c>
      <c r="N186" s="42">
        <f t="shared" si="71"/>
        <v>987439.46</v>
      </c>
      <c r="O186" s="42">
        <f t="shared" si="71"/>
        <v>987439.46</v>
      </c>
      <c r="P186" s="42">
        <f t="shared" si="71"/>
        <v>0</v>
      </c>
      <c r="Q186" s="42">
        <f t="shared" si="71"/>
        <v>987439.46</v>
      </c>
    </row>
    <row r="187" spans="1:17" ht="54" customHeight="1" x14ac:dyDescent="0.25">
      <c r="A187" s="34" t="s">
        <v>372</v>
      </c>
      <c r="B187" s="35" t="s">
        <v>397</v>
      </c>
      <c r="C187" s="36" t="s">
        <v>222</v>
      </c>
      <c r="D187" s="36" t="s">
        <v>155</v>
      </c>
      <c r="E187" s="36" t="s">
        <v>373</v>
      </c>
      <c r="F187" s="36" t="s">
        <v>0</v>
      </c>
      <c r="G187" s="43">
        <f t="shared" si="71"/>
        <v>987439.46</v>
      </c>
      <c r="H187" s="43">
        <f t="shared" si="71"/>
        <v>0</v>
      </c>
      <c r="I187" s="43">
        <f t="shared" si="71"/>
        <v>987439.46</v>
      </c>
      <c r="J187" s="43">
        <f t="shared" si="71"/>
        <v>0</v>
      </c>
      <c r="K187" s="43">
        <f t="shared" si="71"/>
        <v>987439.46</v>
      </c>
      <c r="L187" s="43">
        <f t="shared" si="71"/>
        <v>987439.46</v>
      </c>
      <c r="M187" s="43">
        <f t="shared" si="71"/>
        <v>0</v>
      </c>
      <c r="N187" s="43">
        <f t="shared" si="71"/>
        <v>987439.46</v>
      </c>
      <c r="O187" s="43">
        <f t="shared" si="71"/>
        <v>987439.46</v>
      </c>
      <c r="P187" s="43">
        <f t="shared" si="71"/>
        <v>0</v>
      </c>
      <c r="Q187" s="43">
        <f t="shared" si="71"/>
        <v>987439.46</v>
      </c>
    </row>
    <row r="188" spans="1:17" x14ac:dyDescent="0.25">
      <c r="A188" s="96" t="s">
        <v>343</v>
      </c>
      <c r="B188" s="97" t="s">
        <v>397</v>
      </c>
      <c r="C188" s="98" t="s">
        <v>222</v>
      </c>
      <c r="D188" s="98" t="s">
        <v>155</v>
      </c>
      <c r="E188" s="98" t="s">
        <v>373</v>
      </c>
      <c r="F188" s="98" t="s">
        <v>344</v>
      </c>
      <c r="G188" s="103">
        <v>987439.46</v>
      </c>
      <c r="H188" s="103">
        <v>0</v>
      </c>
      <c r="I188" s="103">
        <f>G188+H188</f>
        <v>987439.46</v>
      </c>
      <c r="J188" s="103">
        <v>0</v>
      </c>
      <c r="K188" s="103">
        <f>I188+J188</f>
        <v>987439.46</v>
      </c>
      <c r="L188" s="103">
        <v>987439.46</v>
      </c>
      <c r="M188" s="103">
        <v>0</v>
      </c>
      <c r="N188" s="103">
        <f>L188+M188</f>
        <v>987439.46</v>
      </c>
      <c r="O188" s="103">
        <v>987439.46</v>
      </c>
      <c r="P188" s="103">
        <v>0</v>
      </c>
      <c r="Q188" s="103">
        <f>O188+P188</f>
        <v>987439.46</v>
      </c>
    </row>
    <row r="189" spans="1:17" s="94" customFormat="1" x14ac:dyDescent="0.25">
      <c r="A189" s="87" t="s">
        <v>403</v>
      </c>
      <c r="B189" s="121" t="s">
        <v>397</v>
      </c>
      <c r="C189" s="121" t="s">
        <v>0</v>
      </c>
      <c r="D189" s="121" t="s">
        <v>0</v>
      </c>
      <c r="E189" s="121" t="s">
        <v>0</v>
      </c>
      <c r="F189" s="121" t="s">
        <v>0</v>
      </c>
      <c r="G189" s="122">
        <f t="shared" ref="G189:Q193" si="72">G190</f>
        <v>5638064.9299999997</v>
      </c>
      <c r="H189" s="122">
        <f t="shared" si="72"/>
        <v>0</v>
      </c>
      <c r="I189" s="122">
        <f t="shared" si="72"/>
        <v>5638064.9299999997</v>
      </c>
      <c r="J189" s="122">
        <f t="shared" si="72"/>
        <v>7500</v>
      </c>
      <c r="K189" s="122">
        <f t="shared" si="72"/>
        <v>5645564.9299999997</v>
      </c>
      <c r="L189" s="122">
        <f t="shared" si="72"/>
        <v>5742496.8099999996</v>
      </c>
      <c r="M189" s="122">
        <f t="shared" si="72"/>
        <v>0</v>
      </c>
      <c r="N189" s="122">
        <f t="shared" si="72"/>
        <v>5742496.8099999996</v>
      </c>
      <c r="O189" s="122">
        <f t="shared" si="72"/>
        <v>6101912.5200000005</v>
      </c>
      <c r="P189" s="122">
        <f t="shared" si="72"/>
        <v>0</v>
      </c>
      <c r="Q189" s="122">
        <f t="shared" si="72"/>
        <v>6101912.5200000005</v>
      </c>
    </row>
    <row r="190" spans="1:17" x14ac:dyDescent="0.25">
      <c r="A190" s="30" t="s">
        <v>141</v>
      </c>
      <c r="B190" s="31" t="s">
        <v>397</v>
      </c>
      <c r="C190" s="32" t="s">
        <v>142</v>
      </c>
      <c r="D190" s="32" t="s">
        <v>0</v>
      </c>
      <c r="E190" s="32" t="s">
        <v>0</v>
      </c>
      <c r="F190" s="32" t="s">
        <v>0</v>
      </c>
      <c r="G190" s="42">
        <f t="shared" si="72"/>
        <v>5638064.9299999997</v>
      </c>
      <c r="H190" s="42">
        <f t="shared" si="72"/>
        <v>0</v>
      </c>
      <c r="I190" s="42">
        <f t="shared" si="72"/>
        <v>5638064.9299999997</v>
      </c>
      <c r="J190" s="42">
        <f t="shared" si="72"/>
        <v>7500</v>
      </c>
      <c r="K190" s="42">
        <f t="shared" si="72"/>
        <v>5645564.9299999997</v>
      </c>
      <c r="L190" s="33">
        <f t="shared" si="72"/>
        <v>5742496.8099999996</v>
      </c>
      <c r="M190" s="42">
        <f t="shared" si="72"/>
        <v>0</v>
      </c>
      <c r="N190" s="42">
        <f t="shared" si="72"/>
        <v>5742496.8099999996</v>
      </c>
      <c r="O190" s="33">
        <f t="shared" si="72"/>
        <v>6101912.5200000005</v>
      </c>
      <c r="P190" s="42">
        <f t="shared" si="72"/>
        <v>0</v>
      </c>
      <c r="Q190" s="42">
        <f t="shared" si="72"/>
        <v>6101912.5200000005</v>
      </c>
    </row>
    <row r="191" spans="1:17" ht="27.75" customHeight="1" x14ac:dyDescent="0.25">
      <c r="A191" s="30" t="s">
        <v>174</v>
      </c>
      <c r="B191" s="31" t="s">
        <v>397</v>
      </c>
      <c r="C191" s="32" t="s">
        <v>142</v>
      </c>
      <c r="D191" s="32" t="s">
        <v>175</v>
      </c>
      <c r="E191" s="32" t="s">
        <v>0</v>
      </c>
      <c r="F191" s="32" t="s">
        <v>0</v>
      </c>
      <c r="G191" s="42">
        <f t="shared" si="72"/>
        <v>5638064.9299999997</v>
      </c>
      <c r="H191" s="42">
        <f t="shared" si="72"/>
        <v>0</v>
      </c>
      <c r="I191" s="42">
        <f t="shared" si="72"/>
        <v>5638064.9299999997</v>
      </c>
      <c r="J191" s="42">
        <f t="shared" si="72"/>
        <v>7500</v>
      </c>
      <c r="K191" s="42">
        <f t="shared" si="72"/>
        <v>5645564.9299999997</v>
      </c>
      <c r="L191" s="33">
        <f t="shared" si="72"/>
        <v>5742496.8099999996</v>
      </c>
      <c r="M191" s="42">
        <f t="shared" si="72"/>
        <v>0</v>
      </c>
      <c r="N191" s="42">
        <f t="shared" si="72"/>
        <v>5742496.8099999996</v>
      </c>
      <c r="O191" s="33">
        <f t="shared" si="72"/>
        <v>6101912.5200000005</v>
      </c>
      <c r="P191" s="42">
        <f t="shared" si="72"/>
        <v>0</v>
      </c>
      <c r="Q191" s="42">
        <f t="shared" si="72"/>
        <v>6101912.5200000005</v>
      </c>
    </row>
    <row r="192" spans="1:17" ht="13.5" customHeight="1" x14ac:dyDescent="0.25">
      <c r="A192" s="30" t="s">
        <v>145</v>
      </c>
      <c r="B192" s="31" t="s">
        <v>397</v>
      </c>
      <c r="C192" s="32" t="s">
        <v>142</v>
      </c>
      <c r="D192" s="32" t="s">
        <v>175</v>
      </c>
      <c r="E192" s="32" t="s">
        <v>146</v>
      </c>
      <c r="F192" s="32" t="s">
        <v>0</v>
      </c>
      <c r="G192" s="42">
        <f t="shared" si="72"/>
        <v>5638064.9299999997</v>
      </c>
      <c r="H192" s="42">
        <f t="shared" si="72"/>
        <v>0</v>
      </c>
      <c r="I192" s="42">
        <f t="shared" si="72"/>
        <v>5638064.9299999997</v>
      </c>
      <c r="J192" s="42">
        <f t="shared" si="72"/>
        <v>7500</v>
      </c>
      <c r="K192" s="42">
        <f t="shared" si="72"/>
        <v>5645564.9299999997</v>
      </c>
      <c r="L192" s="33">
        <f t="shared" si="72"/>
        <v>5742496.8099999996</v>
      </c>
      <c r="M192" s="42">
        <f t="shared" si="72"/>
        <v>0</v>
      </c>
      <c r="N192" s="42">
        <f t="shared" si="72"/>
        <v>5742496.8099999996</v>
      </c>
      <c r="O192" s="33">
        <f t="shared" si="72"/>
        <v>6101912.5200000005</v>
      </c>
      <c r="P192" s="42">
        <f t="shared" si="72"/>
        <v>0</v>
      </c>
      <c r="Q192" s="42">
        <f t="shared" si="72"/>
        <v>6101912.5200000005</v>
      </c>
    </row>
    <row r="193" spans="1:17" ht="25.5" x14ac:dyDescent="0.25">
      <c r="A193" s="30" t="s">
        <v>147</v>
      </c>
      <c r="B193" s="31" t="s">
        <v>397</v>
      </c>
      <c r="C193" s="32" t="s">
        <v>142</v>
      </c>
      <c r="D193" s="32" t="s">
        <v>175</v>
      </c>
      <c r="E193" s="32" t="s">
        <v>148</v>
      </c>
      <c r="F193" s="32" t="s">
        <v>0</v>
      </c>
      <c r="G193" s="42">
        <f t="shared" si="72"/>
        <v>5638064.9299999997</v>
      </c>
      <c r="H193" s="42">
        <f t="shared" si="72"/>
        <v>0</v>
      </c>
      <c r="I193" s="42">
        <f t="shared" si="72"/>
        <v>5638064.9299999997</v>
      </c>
      <c r="J193" s="42">
        <f t="shared" si="72"/>
        <v>7500</v>
      </c>
      <c r="K193" s="42">
        <f t="shared" si="72"/>
        <v>5645564.9299999997</v>
      </c>
      <c r="L193" s="33">
        <f t="shared" si="72"/>
        <v>5742496.8099999996</v>
      </c>
      <c r="M193" s="42">
        <f t="shared" si="72"/>
        <v>0</v>
      </c>
      <c r="N193" s="42">
        <f t="shared" si="72"/>
        <v>5742496.8099999996</v>
      </c>
      <c r="O193" s="33">
        <f t="shared" si="72"/>
        <v>6101912.5200000005</v>
      </c>
      <c r="P193" s="42">
        <f t="shared" si="72"/>
        <v>0</v>
      </c>
      <c r="Q193" s="42">
        <f t="shared" si="72"/>
        <v>6101912.5200000005</v>
      </c>
    </row>
    <row r="194" spans="1:17" ht="27" x14ac:dyDescent="0.25">
      <c r="A194" s="34" t="s">
        <v>176</v>
      </c>
      <c r="B194" s="35" t="s">
        <v>397</v>
      </c>
      <c r="C194" s="36" t="s">
        <v>142</v>
      </c>
      <c r="D194" s="36" t="s">
        <v>175</v>
      </c>
      <c r="E194" s="36" t="s">
        <v>177</v>
      </c>
      <c r="F194" s="36" t="s">
        <v>0</v>
      </c>
      <c r="G194" s="43">
        <f t="shared" ref="G194:Q194" si="73">G195+G196+G197</f>
        <v>5638064.9299999997</v>
      </c>
      <c r="H194" s="43">
        <f t="shared" si="73"/>
        <v>0</v>
      </c>
      <c r="I194" s="43">
        <f t="shared" si="73"/>
        <v>5638064.9299999997</v>
      </c>
      <c r="J194" s="43">
        <f t="shared" si="73"/>
        <v>7500</v>
      </c>
      <c r="K194" s="43">
        <f t="shared" si="73"/>
        <v>5645564.9299999997</v>
      </c>
      <c r="L194" s="37">
        <f t="shared" si="73"/>
        <v>5742496.8099999996</v>
      </c>
      <c r="M194" s="43">
        <f t="shared" si="73"/>
        <v>0</v>
      </c>
      <c r="N194" s="43">
        <f t="shared" si="73"/>
        <v>5742496.8099999996</v>
      </c>
      <c r="O194" s="37">
        <f t="shared" si="73"/>
        <v>6101912.5200000005</v>
      </c>
      <c r="P194" s="43">
        <f t="shared" si="73"/>
        <v>0</v>
      </c>
      <c r="Q194" s="43">
        <f t="shared" si="73"/>
        <v>6101912.5200000005</v>
      </c>
    </row>
    <row r="195" spans="1:17" x14ac:dyDescent="0.25">
      <c r="A195" s="96" t="s">
        <v>151</v>
      </c>
      <c r="B195" s="97" t="s">
        <v>397</v>
      </c>
      <c r="C195" s="98" t="s">
        <v>142</v>
      </c>
      <c r="D195" s="98" t="s">
        <v>175</v>
      </c>
      <c r="E195" s="98" t="s">
        <v>177</v>
      </c>
      <c r="F195" s="98" t="s">
        <v>152</v>
      </c>
      <c r="G195" s="103">
        <v>5396063.4299999997</v>
      </c>
      <c r="H195" s="103">
        <v>0</v>
      </c>
      <c r="I195" s="103">
        <f>G195+H195</f>
        <v>5396063.4299999997</v>
      </c>
      <c r="J195" s="103">
        <v>0</v>
      </c>
      <c r="K195" s="103">
        <f>I195+J195</f>
        <v>5396063.4299999997</v>
      </c>
      <c r="L195" s="99">
        <v>5491339.25</v>
      </c>
      <c r="M195" s="103">
        <v>0</v>
      </c>
      <c r="N195" s="103">
        <f>L195+M195</f>
        <v>5491339.25</v>
      </c>
      <c r="O195" s="99">
        <v>5841668.6500000004</v>
      </c>
      <c r="P195" s="103">
        <v>0</v>
      </c>
      <c r="Q195" s="103">
        <f>O195+P195</f>
        <v>5841668.6500000004</v>
      </c>
    </row>
    <row r="196" spans="1:17" ht="30" x14ac:dyDescent="0.25">
      <c r="A196" s="96" t="s">
        <v>153</v>
      </c>
      <c r="B196" s="97" t="s">
        <v>397</v>
      </c>
      <c r="C196" s="98" t="s">
        <v>142</v>
      </c>
      <c r="D196" s="98" t="s">
        <v>175</v>
      </c>
      <c r="E196" s="98" t="s">
        <v>177</v>
      </c>
      <c r="F196" s="98" t="s">
        <v>158</v>
      </c>
      <c r="G196" s="103">
        <v>230501.5</v>
      </c>
      <c r="H196" s="103">
        <v>0</v>
      </c>
      <c r="I196" s="103">
        <f>G196+H196</f>
        <v>230501.5</v>
      </c>
      <c r="J196" s="103">
        <v>0</v>
      </c>
      <c r="K196" s="103">
        <f>I196+J196</f>
        <v>230501.5</v>
      </c>
      <c r="L196" s="99">
        <v>239174.56</v>
      </c>
      <c r="M196" s="103">
        <v>0</v>
      </c>
      <c r="N196" s="103">
        <f>L196+M196</f>
        <v>239174.56</v>
      </c>
      <c r="O196" s="99">
        <v>247781.55000000002</v>
      </c>
      <c r="P196" s="103">
        <v>0</v>
      </c>
      <c r="Q196" s="103">
        <f>O196+P196</f>
        <v>247781.55000000002</v>
      </c>
    </row>
    <row r="197" spans="1:17" x14ac:dyDescent="0.25">
      <c r="A197" s="96" t="s">
        <v>172</v>
      </c>
      <c r="B197" s="97" t="s">
        <v>397</v>
      </c>
      <c r="C197" s="98" t="s">
        <v>142</v>
      </c>
      <c r="D197" s="98" t="s">
        <v>175</v>
      </c>
      <c r="E197" s="98" t="s">
        <v>177</v>
      </c>
      <c r="F197" s="98" t="s">
        <v>173</v>
      </c>
      <c r="G197" s="103">
        <v>11500</v>
      </c>
      <c r="H197" s="103">
        <v>0</v>
      </c>
      <c r="I197" s="103">
        <f>G197+H197</f>
        <v>11500</v>
      </c>
      <c r="J197" s="103">
        <f>'По разделам 4'!I42</f>
        <v>7500</v>
      </c>
      <c r="K197" s="103">
        <f>I197+J197</f>
        <v>19000</v>
      </c>
      <c r="L197" s="99">
        <v>11983</v>
      </c>
      <c r="M197" s="103">
        <v>0</v>
      </c>
      <c r="N197" s="103">
        <f>L197+M197</f>
        <v>11983</v>
      </c>
      <c r="O197" s="99">
        <v>12462.32</v>
      </c>
      <c r="P197" s="103">
        <v>0</v>
      </c>
      <c r="Q197" s="103">
        <f>O197+P197</f>
        <v>12462.32</v>
      </c>
    </row>
    <row r="198" spans="1:17" s="94" customFormat="1" ht="25.5" x14ac:dyDescent="0.25">
      <c r="A198" s="87" t="s">
        <v>404</v>
      </c>
      <c r="B198" s="121" t="s">
        <v>397</v>
      </c>
      <c r="C198" s="121" t="s">
        <v>0</v>
      </c>
      <c r="D198" s="121" t="s">
        <v>0</v>
      </c>
      <c r="E198" s="121" t="s">
        <v>0</v>
      </c>
      <c r="F198" s="121" t="s">
        <v>0</v>
      </c>
      <c r="G198" s="122">
        <f t="shared" ref="G198:Q198" si="74">G199+G207+G225</f>
        <v>265190937.47316891</v>
      </c>
      <c r="H198" s="122">
        <f t="shared" si="74"/>
        <v>353362418.81</v>
      </c>
      <c r="I198" s="122">
        <f t="shared" si="74"/>
        <v>618553356.28316879</v>
      </c>
      <c r="J198" s="122">
        <f t="shared" si="74"/>
        <v>55140789.11999999</v>
      </c>
      <c r="K198" s="122">
        <f t="shared" si="74"/>
        <v>673694145.40316892</v>
      </c>
      <c r="L198" s="122">
        <f t="shared" si="74"/>
        <v>188398991.24517864</v>
      </c>
      <c r="M198" s="122">
        <f t="shared" si="74"/>
        <v>0</v>
      </c>
      <c r="N198" s="122">
        <f t="shared" si="74"/>
        <v>188398991.24517864</v>
      </c>
      <c r="O198" s="122">
        <f t="shared" si="74"/>
        <v>197999999.99740916</v>
      </c>
      <c r="P198" s="122">
        <f t="shared" si="74"/>
        <v>0</v>
      </c>
      <c r="Q198" s="122">
        <f t="shared" si="74"/>
        <v>197999999.99740916</v>
      </c>
    </row>
    <row r="199" spans="1:17" ht="17.25" customHeight="1" x14ac:dyDescent="0.25">
      <c r="A199" s="22" t="s">
        <v>141</v>
      </c>
      <c r="B199" s="31" t="s">
        <v>397</v>
      </c>
      <c r="C199" s="23" t="s">
        <v>142</v>
      </c>
      <c r="D199" s="23" t="s">
        <v>0</v>
      </c>
      <c r="E199" s="24" t="s">
        <v>0</v>
      </c>
      <c r="F199" s="23" t="s">
        <v>0</v>
      </c>
      <c r="G199" s="25">
        <f>G200</f>
        <v>0</v>
      </c>
      <c r="H199" s="25">
        <f t="shared" ref="H199:Q201" si="75">H200</f>
        <v>0</v>
      </c>
      <c r="I199" s="25">
        <f t="shared" si="75"/>
        <v>0</v>
      </c>
      <c r="J199" s="25">
        <f t="shared" si="75"/>
        <v>50600000</v>
      </c>
      <c r="K199" s="25">
        <f t="shared" si="75"/>
        <v>50600000</v>
      </c>
      <c r="L199" s="25">
        <f t="shared" si="75"/>
        <v>0</v>
      </c>
      <c r="M199" s="25">
        <f t="shared" si="75"/>
        <v>0</v>
      </c>
      <c r="N199" s="25">
        <f t="shared" si="75"/>
        <v>0</v>
      </c>
      <c r="O199" s="25">
        <f t="shared" si="75"/>
        <v>0</v>
      </c>
      <c r="P199" s="25">
        <f t="shared" si="75"/>
        <v>0</v>
      </c>
      <c r="Q199" s="25">
        <f t="shared" si="75"/>
        <v>0</v>
      </c>
    </row>
    <row r="200" spans="1:17" x14ac:dyDescent="0.25">
      <c r="A200" s="30" t="s">
        <v>186</v>
      </c>
      <c r="B200" s="31" t="s">
        <v>397</v>
      </c>
      <c r="C200" s="31" t="s">
        <v>142</v>
      </c>
      <c r="D200" s="31" t="s">
        <v>187</v>
      </c>
      <c r="E200" s="32" t="s">
        <v>0</v>
      </c>
      <c r="F200" s="31" t="s">
        <v>0</v>
      </c>
      <c r="G200" s="33">
        <f>G201</f>
        <v>0</v>
      </c>
      <c r="H200" s="33">
        <f t="shared" si="75"/>
        <v>0</v>
      </c>
      <c r="I200" s="33">
        <f t="shared" si="75"/>
        <v>0</v>
      </c>
      <c r="J200" s="33">
        <f t="shared" si="75"/>
        <v>50600000</v>
      </c>
      <c r="K200" s="33">
        <f t="shared" si="75"/>
        <v>50600000</v>
      </c>
      <c r="L200" s="33">
        <f t="shared" si="75"/>
        <v>0</v>
      </c>
      <c r="M200" s="33">
        <f t="shared" si="75"/>
        <v>0</v>
      </c>
      <c r="N200" s="33">
        <f t="shared" si="75"/>
        <v>0</v>
      </c>
      <c r="O200" s="33">
        <f t="shared" si="75"/>
        <v>0</v>
      </c>
      <c r="P200" s="33">
        <f t="shared" si="75"/>
        <v>0</v>
      </c>
      <c r="Q200" s="33">
        <f t="shared" si="75"/>
        <v>0</v>
      </c>
    </row>
    <row r="201" spans="1:17" x14ac:dyDescent="0.25">
      <c r="A201" s="30" t="s">
        <v>188</v>
      </c>
      <c r="B201" s="31" t="s">
        <v>397</v>
      </c>
      <c r="C201" s="31" t="s">
        <v>142</v>
      </c>
      <c r="D201" s="31" t="s">
        <v>187</v>
      </c>
      <c r="E201" s="32" t="s">
        <v>189</v>
      </c>
      <c r="F201" s="31" t="s">
        <v>0</v>
      </c>
      <c r="G201" s="42">
        <f>G202</f>
        <v>0</v>
      </c>
      <c r="H201" s="42">
        <f t="shared" si="75"/>
        <v>0</v>
      </c>
      <c r="I201" s="42">
        <f t="shared" si="75"/>
        <v>0</v>
      </c>
      <c r="J201" s="42">
        <f t="shared" si="75"/>
        <v>50600000</v>
      </c>
      <c r="K201" s="42">
        <f t="shared" si="75"/>
        <v>50600000</v>
      </c>
      <c r="L201" s="42">
        <f t="shared" si="75"/>
        <v>0</v>
      </c>
      <c r="M201" s="42">
        <f t="shared" si="75"/>
        <v>0</v>
      </c>
      <c r="N201" s="42">
        <f t="shared" si="75"/>
        <v>0</v>
      </c>
      <c r="O201" s="42">
        <f t="shared" si="75"/>
        <v>0</v>
      </c>
      <c r="P201" s="42">
        <f t="shared" si="75"/>
        <v>0</v>
      </c>
      <c r="Q201" s="42">
        <f t="shared" si="75"/>
        <v>0</v>
      </c>
    </row>
    <row r="202" spans="1:17" x14ac:dyDescent="0.25">
      <c r="A202" s="30" t="s">
        <v>165</v>
      </c>
      <c r="B202" s="31" t="s">
        <v>397</v>
      </c>
      <c r="C202" s="31" t="s">
        <v>142</v>
      </c>
      <c r="D202" s="31" t="s">
        <v>187</v>
      </c>
      <c r="E202" s="32" t="s">
        <v>190</v>
      </c>
      <c r="F202" s="31" t="s">
        <v>0</v>
      </c>
      <c r="G202" s="42">
        <f>G203+G205</f>
        <v>0</v>
      </c>
      <c r="H202" s="42">
        <f t="shared" ref="H202:Q202" si="76">H203+H205</f>
        <v>0</v>
      </c>
      <c r="I202" s="42">
        <f t="shared" si="76"/>
        <v>0</v>
      </c>
      <c r="J202" s="42">
        <f t="shared" si="76"/>
        <v>50600000</v>
      </c>
      <c r="K202" s="42">
        <f t="shared" si="76"/>
        <v>50600000</v>
      </c>
      <c r="L202" s="42">
        <f t="shared" si="76"/>
        <v>0</v>
      </c>
      <c r="M202" s="42">
        <f t="shared" si="76"/>
        <v>0</v>
      </c>
      <c r="N202" s="42">
        <f t="shared" si="76"/>
        <v>0</v>
      </c>
      <c r="O202" s="42">
        <f t="shared" si="76"/>
        <v>0</v>
      </c>
      <c r="P202" s="42">
        <f t="shared" si="76"/>
        <v>0</v>
      </c>
      <c r="Q202" s="42">
        <f t="shared" si="76"/>
        <v>0</v>
      </c>
    </row>
    <row r="203" spans="1:17" ht="27" x14ac:dyDescent="0.25">
      <c r="A203" s="34" t="s">
        <v>191</v>
      </c>
      <c r="B203" s="35" t="s">
        <v>397</v>
      </c>
      <c r="C203" s="35" t="s">
        <v>142</v>
      </c>
      <c r="D203" s="35" t="s">
        <v>187</v>
      </c>
      <c r="E203" s="36" t="s">
        <v>192</v>
      </c>
      <c r="F203" s="35" t="s">
        <v>0</v>
      </c>
      <c r="G203" s="43">
        <f t="shared" ref="G203:Q203" si="77">G204</f>
        <v>0</v>
      </c>
      <c r="H203" s="43">
        <f t="shared" si="77"/>
        <v>0</v>
      </c>
      <c r="I203" s="43">
        <f t="shared" si="77"/>
        <v>0</v>
      </c>
      <c r="J203" s="43">
        <f t="shared" si="77"/>
        <v>50000000</v>
      </c>
      <c r="K203" s="43">
        <f t="shared" si="77"/>
        <v>50000000</v>
      </c>
      <c r="L203" s="43">
        <f t="shared" si="77"/>
        <v>0</v>
      </c>
      <c r="M203" s="43">
        <f t="shared" si="77"/>
        <v>0</v>
      </c>
      <c r="N203" s="43">
        <f t="shared" si="77"/>
        <v>0</v>
      </c>
      <c r="O203" s="43">
        <f t="shared" si="77"/>
        <v>0</v>
      </c>
      <c r="P203" s="43">
        <f t="shared" si="77"/>
        <v>0</v>
      </c>
      <c r="Q203" s="43">
        <f t="shared" si="77"/>
        <v>0</v>
      </c>
    </row>
    <row r="204" spans="1:17" x14ac:dyDescent="0.25">
      <c r="A204" s="96" t="s">
        <v>169</v>
      </c>
      <c r="B204" s="97" t="s">
        <v>397</v>
      </c>
      <c r="C204" s="97" t="s">
        <v>142</v>
      </c>
      <c r="D204" s="97">
        <v>13</v>
      </c>
      <c r="E204" s="98" t="s">
        <v>192</v>
      </c>
      <c r="F204" s="97" t="s">
        <v>171</v>
      </c>
      <c r="G204" s="103">
        <v>0</v>
      </c>
      <c r="H204" s="44">
        <v>0</v>
      </c>
      <c r="I204" s="38">
        <f>G204+H204</f>
        <v>0</v>
      </c>
      <c r="J204" s="44">
        <f>'По разделам 4'!I54</f>
        <v>50000000</v>
      </c>
      <c r="K204" s="38">
        <f>I204+J204</f>
        <v>50000000</v>
      </c>
      <c r="L204" s="103">
        <v>0</v>
      </c>
      <c r="M204" s="44">
        <v>0</v>
      </c>
      <c r="N204" s="38">
        <f>L204+M204</f>
        <v>0</v>
      </c>
      <c r="O204" s="103">
        <v>0</v>
      </c>
      <c r="P204" s="44">
        <v>0</v>
      </c>
      <c r="Q204" s="38">
        <f>O204+P204</f>
        <v>0</v>
      </c>
    </row>
    <row r="205" spans="1:17" x14ac:dyDescent="0.25">
      <c r="A205" s="34" t="s">
        <v>201</v>
      </c>
      <c r="B205" s="35">
        <v>801</v>
      </c>
      <c r="C205" s="35" t="s">
        <v>142</v>
      </c>
      <c r="D205" s="35" t="s">
        <v>187</v>
      </c>
      <c r="E205" s="46" t="s">
        <v>202</v>
      </c>
      <c r="F205" s="97" t="s">
        <v>0</v>
      </c>
      <c r="G205" s="43">
        <f t="shared" ref="G205:Q205" si="78">G206</f>
        <v>0</v>
      </c>
      <c r="H205" s="43">
        <f t="shared" si="78"/>
        <v>0</v>
      </c>
      <c r="I205" s="43">
        <f t="shared" si="78"/>
        <v>0</v>
      </c>
      <c r="J205" s="43">
        <f t="shared" si="78"/>
        <v>600000</v>
      </c>
      <c r="K205" s="43">
        <f t="shared" si="78"/>
        <v>600000</v>
      </c>
      <c r="L205" s="43">
        <f t="shared" si="78"/>
        <v>0</v>
      </c>
      <c r="M205" s="43">
        <f t="shared" si="78"/>
        <v>0</v>
      </c>
      <c r="N205" s="43">
        <f t="shared" si="78"/>
        <v>0</v>
      </c>
      <c r="O205" s="43">
        <f t="shared" si="78"/>
        <v>0</v>
      </c>
      <c r="P205" s="43">
        <f t="shared" si="78"/>
        <v>0</v>
      </c>
      <c r="Q205" s="43">
        <f t="shared" si="78"/>
        <v>0</v>
      </c>
    </row>
    <row r="206" spans="1:17" ht="30" x14ac:dyDescent="0.25">
      <c r="A206" s="96" t="s">
        <v>153</v>
      </c>
      <c r="B206" s="97" t="s">
        <v>397</v>
      </c>
      <c r="C206" s="97" t="s">
        <v>142</v>
      </c>
      <c r="D206" s="97" t="s">
        <v>187</v>
      </c>
      <c r="E206" s="47" t="s">
        <v>202</v>
      </c>
      <c r="F206" s="97" t="s">
        <v>158</v>
      </c>
      <c r="G206" s="103">
        <v>0</v>
      </c>
      <c r="H206" s="103">
        <v>0</v>
      </c>
      <c r="I206" s="38">
        <f>G206+H206</f>
        <v>0</v>
      </c>
      <c r="J206" s="103">
        <f>'По разделам 4'!I65</f>
        <v>600000</v>
      </c>
      <c r="K206" s="38">
        <f>I206+J206</f>
        <v>600000</v>
      </c>
      <c r="L206" s="103">
        <v>0</v>
      </c>
      <c r="M206" s="103">
        <v>0</v>
      </c>
      <c r="N206" s="38">
        <f>L206+M206</f>
        <v>0</v>
      </c>
      <c r="O206" s="103">
        <v>0</v>
      </c>
      <c r="P206" s="103">
        <v>0</v>
      </c>
      <c r="Q206" s="38">
        <f>O206+P206</f>
        <v>0</v>
      </c>
    </row>
    <row r="207" spans="1:17" x14ac:dyDescent="0.25">
      <c r="A207" s="30" t="s">
        <v>232</v>
      </c>
      <c r="B207" s="31" t="s">
        <v>397</v>
      </c>
      <c r="C207" s="32" t="s">
        <v>162</v>
      </c>
      <c r="D207" s="32" t="s">
        <v>0</v>
      </c>
      <c r="E207" s="32" t="s">
        <v>0</v>
      </c>
      <c r="F207" s="32" t="s">
        <v>0</v>
      </c>
      <c r="G207" s="42">
        <f t="shared" ref="G207:Q207" si="79">G208+G213</f>
        <v>100081011.26000002</v>
      </c>
      <c r="H207" s="42">
        <f t="shared" si="79"/>
        <v>40284564.75</v>
      </c>
      <c r="I207" s="42">
        <f t="shared" si="79"/>
        <v>140365576.00999999</v>
      </c>
      <c r="J207" s="42">
        <f t="shared" si="79"/>
        <v>18886952.709999997</v>
      </c>
      <c r="K207" s="42">
        <f t="shared" si="79"/>
        <v>159252528.72</v>
      </c>
      <c r="L207" s="42">
        <f t="shared" si="79"/>
        <v>80200859.930000007</v>
      </c>
      <c r="M207" s="42">
        <f t="shared" si="79"/>
        <v>0</v>
      </c>
      <c r="N207" s="42">
        <f t="shared" si="79"/>
        <v>80200859.930000007</v>
      </c>
      <c r="O207" s="42">
        <f t="shared" si="79"/>
        <v>80200859.930000007</v>
      </c>
      <c r="P207" s="42">
        <f t="shared" si="79"/>
        <v>0</v>
      </c>
      <c r="Q207" s="42">
        <f t="shared" si="79"/>
        <v>80200859.930000007</v>
      </c>
    </row>
    <row r="208" spans="1:17" x14ac:dyDescent="0.25">
      <c r="A208" s="30" t="s">
        <v>233</v>
      </c>
      <c r="B208" s="31" t="s">
        <v>397</v>
      </c>
      <c r="C208" s="32" t="s">
        <v>162</v>
      </c>
      <c r="D208" s="32" t="s">
        <v>234</v>
      </c>
      <c r="E208" s="32" t="s">
        <v>0</v>
      </c>
      <c r="F208" s="32" t="s">
        <v>0</v>
      </c>
      <c r="G208" s="42">
        <f t="shared" ref="G208:Q208" si="80">G209</f>
        <v>1174817.73</v>
      </c>
      <c r="H208" s="42">
        <f t="shared" si="80"/>
        <v>0</v>
      </c>
      <c r="I208" s="42">
        <f t="shared" si="80"/>
        <v>1174817.73</v>
      </c>
      <c r="J208" s="42">
        <f t="shared" si="80"/>
        <v>2078625.74</v>
      </c>
      <c r="K208" s="42">
        <f t="shared" si="80"/>
        <v>3253443.4699999997</v>
      </c>
      <c r="L208" s="42">
        <f t="shared" si="80"/>
        <v>0</v>
      </c>
      <c r="M208" s="42">
        <f t="shared" si="80"/>
        <v>0</v>
      </c>
      <c r="N208" s="42">
        <f t="shared" si="80"/>
        <v>0</v>
      </c>
      <c r="O208" s="42">
        <f t="shared" si="80"/>
        <v>0</v>
      </c>
      <c r="P208" s="42">
        <f t="shared" si="80"/>
        <v>0</v>
      </c>
      <c r="Q208" s="42">
        <f t="shared" si="80"/>
        <v>0</v>
      </c>
    </row>
    <row r="209" spans="1:17" ht="25.5" x14ac:dyDescent="0.25">
      <c r="A209" s="30" t="s">
        <v>235</v>
      </c>
      <c r="B209" s="31" t="s">
        <v>397</v>
      </c>
      <c r="C209" s="32" t="s">
        <v>162</v>
      </c>
      <c r="D209" s="32" t="s">
        <v>234</v>
      </c>
      <c r="E209" s="32" t="s">
        <v>236</v>
      </c>
      <c r="F209" s="32" t="s">
        <v>0</v>
      </c>
      <c r="G209" s="42">
        <f>G210</f>
        <v>1174817.73</v>
      </c>
      <c r="H209" s="42">
        <f>H210</f>
        <v>0</v>
      </c>
      <c r="I209" s="42">
        <f>I210</f>
        <v>1174817.73</v>
      </c>
      <c r="J209" s="42">
        <f>J210</f>
        <v>2078625.74</v>
      </c>
      <c r="K209" s="42">
        <f>K210</f>
        <v>3253443.4699999997</v>
      </c>
      <c r="L209" s="42">
        <f t="shared" ref="L209:O209" si="81">L210</f>
        <v>0</v>
      </c>
      <c r="M209" s="42">
        <f>M210</f>
        <v>0</v>
      </c>
      <c r="N209" s="42">
        <f>N210</f>
        <v>0</v>
      </c>
      <c r="O209" s="42">
        <f t="shared" si="81"/>
        <v>0</v>
      </c>
      <c r="P209" s="42">
        <f>P210</f>
        <v>0</v>
      </c>
      <c r="Q209" s="42">
        <f>Q210</f>
        <v>0</v>
      </c>
    </row>
    <row r="210" spans="1:17" x14ac:dyDescent="0.25">
      <c r="A210" s="30" t="s">
        <v>165</v>
      </c>
      <c r="B210" s="31" t="s">
        <v>397</v>
      </c>
      <c r="C210" s="32" t="s">
        <v>162</v>
      </c>
      <c r="D210" s="32" t="s">
        <v>234</v>
      </c>
      <c r="E210" s="32" t="s">
        <v>237</v>
      </c>
      <c r="F210" s="32" t="s">
        <v>0</v>
      </c>
      <c r="G210" s="42">
        <f t="shared" ref="G210:Q211" si="82">G211</f>
        <v>1174817.73</v>
      </c>
      <c r="H210" s="42">
        <f t="shared" si="82"/>
        <v>0</v>
      </c>
      <c r="I210" s="42">
        <f t="shared" si="82"/>
        <v>1174817.73</v>
      </c>
      <c r="J210" s="42">
        <f t="shared" si="82"/>
        <v>2078625.74</v>
      </c>
      <c r="K210" s="42">
        <f t="shared" si="82"/>
        <v>3253443.4699999997</v>
      </c>
      <c r="L210" s="42">
        <f t="shared" si="82"/>
        <v>0</v>
      </c>
      <c r="M210" s="42">
        <f t="shared" si="82"/>
        <v>0</v>
      </c>
      <c r="N210" s="42">
        <f t="shared" si="82"/>
        <v>0</v>
      </c>
      <c r="O210" s="42">
        <f t="shared" si="82"/>
        <v>0</v>
      </c>
      <c r="P210" s="42">
        <f t="shared" si="82"/>
        <v>0</v>
      </c>
      <c r="Q210" s="42">
        <f t="shared" si="82"/>
        <v>0</v>
      </c>
    </row>
    <row r="211" spans="1:17" ht="55.5" customHeight="1" x14ac:dyDescent="0.25">
      <c r="A211" s="34" t="s">
        <v>432</v>
      </c>
      <c r="B211" s="35" t="s">
        <v>397</v>
      </c>
      <c r="C211" s="36" t="s">
        <v>162</v>
      </c>
      <c r="D211" s="36" t="s">
        <v>234</v>
      </c>
      <c r="E211" s="36" t="s">
        <v>238</v>
      </c>
      <c r="F211" s="36" t="s">
        <v>0</v>
      </c>
      <c r="G211" s="43">
        <f t="shared" si="82"/>
        <v>1174817.73</v>
      </c>
      <c r="H211" s="43">
        <f t="shared" si="82"/>
        <v>0</v>
      </c>
      <c r="I211" s="43">
        <f t="shared" si="82"/>
        <v>1174817.73</v>
      </c>
      <c r="J211" s="43">
        <f t="shared" si="82"/>
        <v>2078625.74</v>
      </c>
      <c r="K211" s="43">
        <f t="shared" si="82"/>
        <v>3253443.4699999997</v>
      </c>
      <c r="L211" s="43">
        <f t="shared" si="82"/>
        <v>0</v>
      </c>
      <c r="M211" s="43">
        <f t="shared" si="82"/>
        <v>0</v>
      </c>
      <c r="N211" s="43">
        <f t="shared" si="82"/>
        <v>0</v>
      </c>
      <c r="O211" s="43">
        <f t="shared" si="82"/>
        <v>0</v>
      </c>
      <c r="P211" s="43">
        <f t="shared" si="82"/>
        <v>0</v>
      </c>
      <c r="Q211" s="43">
        <f t="shared" si="82"/>
        <v>0</v>
      </c>
    </row>
    <row r="212" spans="1:17" ht="30" x14ac:dyDescent="0.25">
      <c r="A212" s="96" t="s">
        <v>153</v>
      </c>
      <c r="B212" s="97" t="s">
        <v>397</v>
      </c>
      <c r="C212" s="98" t="s">
        <v>162</v>
      </c>
      <c r="D212" s="98" t="s">
        <v>234</v>
      </c>
      <c r="E212" s="98" t="s">
        <v>238</v>
      </c>
      <c r="F212" s="98" t="s">
        <v>158</v>
      </c>
      <c r="G212" s="103">
        <v>1174817.73</v>
      </c>
      <c r="H212" s="103">
        <v>0</v>
      </c>
      <c r="I212" s="103">
        <f>G212+H212</f>
        <v>1174817.73</v>
      </c>
      <c r="J212" s="103">
        <f>'По разделам 4'!I103</f>
        <v>2078625.74</v>
      </c>
      <c r="K212" s="103">
        <f>I212+J212</f>
        <v>3253443.4699999997</v>
      </c>
      <c r="L212" s="103">
        <v>0</v>
      </c>
      <c r="M212" s="103">
        <v>0</v>
      </c>
      <c r="N212" s="103">
        <f>L212+M212</f>
        <v>0</v>
      </c>
      <c r="O212" s="103">
        <v>0</v>
      </c>
      <c r="P212" s="103">
        <v>0</v>
      </c>
      <c r="Q212" s="103">
        <f>O212+P212</f>
        <v>0</v>
      </c>
    </row>
    <row r="213" spans="1:17" x14ac:dyDescent="0.25">
      <c r="A213" s="30" t="s">
        <v>243</v>
      </c>
      <c r="B213" s="31" t="s">
        <v>397</v>
      </c>
      <c r="C213" s="32" t="s">
        <v>162</v>
      </c>
      <c r="D213" s="32" t="s">
        <v>244</v>
      </c>
      <c r="E213" s="32" t="s">
        <v>0</v>
      </c>
      <c r="F213" s="32" t="s">
        <v>0</v>
      </c>
      <c r="G213" s="42">
        <f t="shared" ref="G213:Q213" si="83">G214+G218</f>
        <v>98906193.530000016</v>
      </c>
      <c r="H213" s="42">
        <f t="shared" si="83"/>
        <v>40284564.75</v>
      </c>
      <c r="I213" s="42">
        <f t="shared" si="83"/>
        <v>139190758.28</v>
      </c>
      <c r="J213" s="42">
        <f t="shared" si="83"/>
        <v>16808326.969999999</v>
      </c>
      <c r="K213" s="42">
        <f t="shared" si="83"/>
        <v>155999085.25</v>
      </c>
      <c r="L213" s="42">
        <f t="shared" si="83"/>
        <v>80200859.930000007</v>
      </c>
      <c r="M213" s="42">
        <f t="shared" si="83"/>
        <v>0</v>
      </c>
      <c r="N213" s="42">
        <f t="shared" si="83"/>
        <v>80200859.930000007</v>
      </c>
      <c r="O213" s="42">
        <f t="shared" si="83"/>
        <v>80200859.930000007</v>
      </c>
      <c r="P213" s="42">
        <f t="shared" si="83"/>
        <v>0</v>
      </c>
      <c r="Q213" s="42">
        <f t="shared" si="83"/>
        <v>80200859.930000007</v>
      </c>
    </row>
    <row r="214" spans="1:17" x14ac:dyDescent="0.25">
      <c r="A214" s="30" t="s">
        <v>245</v>
      </c>
      <c r="B214" s="31" t="s">
        <v>397</v>
      </c>
      <c r="C214" s="32" t="s">
        <v>162</v>
      </c>
      <c r="D214" s="32" t="s">
        <v>244</v>
      </c>
      <c r="E214" s="32" t="s">
        <v>246</v>
      </c>
      <c r="F214" s="32" t="s">
        <v>0</v>
      </c>
      <c r="G214" s="42">
        <f t="shared" ref="G214:Q216" si="84">G215</f>
        <v>6800223.1699999999</v>
      </c>
      <c r="H214" s="42">
        <f t="shared" si="84"/>
        <v>5000000</v>
      </c>
      <c r="I214" s="42">
        <f t="shared" si="84"/>
        <v>11800223.17</v>
      </c>
      <c r="J214" s="42">
        <f t="shared" si="84"/>
        <v>13081635.83</v>
      </c>
      <c r="K214" s="42">
        <f t="shared" si="84"/>
        <v>24881859</v>
      </c>
      <c r="L214" s="42">
        <f t="shared" si="84"/>
        <v>0</v>
      </c>
      <c r="M214" s="42">
        <f t="shared" si="84"/>
        <v>0</v>
      </c>
      <c r="N214" s="42">
        <f t="shared" si="84"/>
        <v>0</v>
      </c>
      <c r="O214" s="42">
        <f t="shared" si="84"/>
        <v>0</v>
      </c>
      <c r="P214" s="42">
        <f t="shared" si="84"/>
        <v>0</v>
      </c>
      <c r="Q214" s="42">
        <f t="shared" si="84"/>
        <v>0</v>
      </c>
    </row>
    <row r="215" spans="1:17" x14ac:dyDescent="0.25">
      <c r="A215" s="30" t="s">
        <v>165</v>
      </c>
      <c r="B215" s="31" t="s">
        <v>397</v>
      </c>
      <c r="C215" s="32" t="s">
        <v>162</v>
      </c>
      <c r="D215" s="32" t="s">
        <v>244</v>
      </c>
      <c r="E215" s="32" t="s">
        <v>247</v>
      </c>
      <c r="F215" s="32" t="s">
        <v>0</v>
      </c>
      <c r="G215" s="42">
        <f t="shared" si="84"/>
        <v>6800223.1699999999</v>
      </c>
      <c r="H215" s="42">
        <f t="shared" si="84"/>
        <v>5000000</v>
      </c>
      <c r="I215" s="42">
        <f t="shared" si="84"/>
        <v>11800223.17</v>
      </c>
      <c r="J215" s="42">
        <f t="shared" si="84"/>
        <v>13081635.83</v>
      </c>
      <c r="K215" s="42">
        <f t="shared" si="84"/>
        <v>24881859</v>
      </c>
      <c r="L215" s="42">
        <f t="shared" si="84"/>
        <v>0</v>
      </c>
      <c r="M215" s="42">
        <f t="shared" si="84"/>
        <v>0</v>
      </c>
      <c r="N215" s="42">
        <f t="shared" si="84"/>
        <v>0</v>
      </c>
      <c r="O215" s="42">
        <f t="shared" si="84"/>
        <v>0</v>
      </c>
      <c r="P215" s="42">
        <f t="shared" si="84"/>
        <v>0</v>
      </c>
      <c r="Q215" s="42">
        <f t="shared" si="84"/>
        <v>0</v>
      </c>
    </row>
    <row r="216" spans="1:17" ht="27" customHeight="1" x14ac:dyDescent="0.25">
      <c r="A216" s="34" t="s">
        <v>248</v>
      </c>
      <c r="B216" s="35" t="s">
        <v>397</v>
      </c>
      <c r="C216" s="36" t="s">
        <v>162</v>
      </c>
      <c r="D216" s="36" t="s">
        <v>244</v>
      </c>
      <c r="E216" s="36" t="s">
        <v>249</v>
      </c>
      <c r="F216" s="36" t="s">
        <v>0</v>
      </c>
      <c r="G216" s="43">
        <f t="shared" si="84"/>
        <v>6800223.1699999999</v>
      </c>
      <c r="H216" s="43">
        <f t="shared" si="84"/>
        <v>5000000</v>
      </c>
      <c r="I216" s="43">
        <f t="shared" si="84"/>
        <v>11800223.17</v>
      </c>
      <c r="J216" s="43">
        <f t="shared" si="84"/>
        <v>13081635.83</v>
      </c>
      <c r="K216" s="43">
        <f t="shared" si="84"/>
        <v>24881859</v>
      </c>
      <c r="L216" s="43">
        <f t="shared" si="84"/>
        <v>0</v>
      </c>
      <c r="M216" s="43">
        <f t="shared" si="84"/>
        <v>0</v>
      </c>
      <c r="N216" s="43">
        <f t="shared" si="84"/>
        <v>0</v>
      </c>
      <c r="O216" s="43">
        <f t="shared" si="84"/>
        <v>0</v>
      </c>
      <c r="P216" s="43">
        <f t="shared" si="84"/>
        <v>0</v>
      </c>
      <c r="Q216" s="43">
        <f t="shared" si="84"/>
        <v>0</v>
      </c>
    </row>
    <row r="217" spans="1:17" ht="30" x14ac:dyDescent="0.25">
      <c r="A217" s="96" t="s">
        <v>153</v>
      </c>
      <c r="B217" s="97" t="s">
        <v>397</v>
      </c>
      <c r="C217" s="98" t="s">
        <v>162</v>
      </c>
      <c r="D217" s="98" t="s">
        <v>244</v>
      </c>
      <c r="E217" s="50" t="s">
        <v>249</v>
      </c>
      <c r="F217" s="50" t="s">
        <v>158</v>
      </c>
      <c r="G217" s="103">
        <v>6800223.1699999999</v>
      </c>
      <c r="H217" s="103">
        <f>-3738269.84+3738269.84+5000000</f>
        <v>5000000</v>
      </c>
      <c r="I217" s="103">
        <f>G217+H217</f>
        <v>11800223.17</v>
      </c>
      <c r="J217" s="103">
        <f>'По разделам 4'!I113</f>
        <v>13081635.83</v>
      </c>
      <c r="K217" s="103">
        <f>I217+J217</f>
        <v>24881859</v>
      </c>
      <c r="L217" s="103">
        <v>0</v>
      </c>
      <c r="M217" s="103">
        <v>0</v>
      </c>
      <c r="N217" s="103">
        <f>L217+M217</f>
        <v>0</v>
      </c>
      <c r="O217" s="103">
        <v>0</v>
      </c>
      <c r="P217" s="103">
        <v>0</v>
      </c>
      <c r="Q217" s="103">
        <f>O217+P217</f>
        <v>0</v>
      </c>
    </row>
    <row r="218" spans="1:17" ht="25.5" x14ac:dyDescent="0.25">
      <c r="A218" s="30" t="s">
        <v>250</v>
      </c>
      <c r="B218" s="31" t="s">
        <v>397</v>
      </c>
      <c r="C218" s="32" t="s">
        <v>162</v>
      </c>
      <c r="D218" s="32" t="s">
        <v>244</v>
      </c>
      <c r="E218" s="32" t="s">
        <v>251</v>
      </c>
      <c r="F218" s="32" t="s">
        <v>0</v>
      </c>
      <c r="G218" s="42">
        <f t="shared" ref="G218:Q218" si="85">G219</f>
        <v>92105970.360000014</v>
      </c>
      <c r="H218" s="42">
        <f t="shared" si="85"/>
        <v>35284564.75</v>
      </c>
      <c r="I218" s="42">
        <f t="shared" si="85"/>
        <v>127390535.11000001</v>
      </c>
      <c r="J218" s="42">
        <f t="shared" si="85"/>
        <v>3726691.14</v>
      </c>
      <c r="K218" s="42">
        <f t="shared" si="85"/>
        <v>131117226.25</v>
      </c>
      <c r="L218" s="42">
        <f t="shared" si="85"/>
        <v>80200859.930000007</v>
      </c>
      <c r="M218" s="42">
        <f t="shared" si="85"/>
        <v>0</v>
      </c>
      <c r="N218" s="42">
        <f t="shared" si="85"/>
        <v>80200859.930000007</v>
      </c>
      <c r="O218" s="42">
        <f t="shared" si="85"/>
        <v>80200859.930000007</v>
      </c>
      <c r="P218" s="42">
        <f t="shared" si="85"/>
        <v>0</v>
      </c>
      <c r="Q218" s="42">
        <f t="shared" si="85"/>
        <v>80200859.930000007</v>
      </c>
    </row>
    <row r="219" spans="1:17" x14ac:dyDescent="0.25">
      <c r="A219" s="30" t="s">
        <v>165</v>
      </c>
      <c r="B219" s="31" t="s">
        <v>397</v>
      </c>
      <c r="C219" s="32" t="s">
        <v>162</v>
      </c>
      <c r="D219" s="32" t="s">
        <v>244</v>
      </c>
      <c r="E219" s="32" t="s">
        <v>252</v>
      </c>
      <c r="F219" s="32" t="s">
        <v>0</v>
      </c>
      <c r="G219" s="42">
        <f t="shared" ref="G219:Q219" si="86">G220+G223</f>
        <v>92105970.360000014</v>
      </c>
      <c r="H219" s="42">
        <f t="shared" si="86"/>
        <v>35284564.75</v>
      </c>
      <c r="I219" s="42">
        <f t="shared" si="86"/>
        <v>127390535.11000001</v>
      </c>
      <c r="J219" s="42">
        <f t="shared" si="86"/>
        <v>3726691.14</v>
      </c>
      <c r="K219" s="42">
        <f t="shared" si="86"/>
        <v>131117226.25</v>
      </c>
      <c r="L219" s="42">
        <f t="shared" si="86"/>
        <v>80200859.930000007</v>
      </c>
      <c r="M219" s="42">
        <f t="shared" si="86"/>
        <v>0</v>
      </c>
      <c r="N219" s="42">
        <f t="shared" si="86"/>
        <v>80200859.930000007</v>
      </c>
      <c r="O219" s="42">
        <f t="shared" si="86"/>
        <v>80200859.930000007</v>
      </c>
      <c r="P219" s="42">
        <f t="shared" si="86"/>
        <v>0</v>
      </c>
      <c r="Q219" s="42">
        <f t="shared" si="86"/>
        <v>80200859.930000007</v>
      </c>
    </row>
    <row r="220" spans="1:17" ht="27" x14ac:dyDescent="0.25">
      <c r="A220" s="34" t="s">
        <v>253</v>
      </c>
      <c r="B220" s="35" t="s">
        <v>397</v>
      </c>
      <c r="C220" s="36" t="s">
        <v>162</v>
      </c>
      <c r="D220" s="36" t="s">
        <v>244</v>
      </c>
      <c r="E220" s="36" t="s">
        <v>254</v>
      </c>
      <c r="F220" s="36" t="s">
        <v>0</v>
      </c>
      <c r="G220" s="43">
        <f t="shared" ref="G220:Q220" si="87">G221+G222</f>
        <v>92105970.360000014</v>
      </c>
      <c r="H220" s="43">
        <f t="shared" si="87"/>
        <v>35284564.75</v>
      </c>
      <c r="I220" s="43">
        <f t="shared" si="87"/>
        <v>127390535.11000001</v>
      </c>
      <c r="J220" s="43">
        <f t="shared" si="87"/>
        <v>3726691.14</v>
      </c>
      <c r="K220" s="43">
        <f t="shared" si="87"/>
        <v>131117226.25</v>
      </c>
      <c r="L220" s="43">
        <f t="shared" si="87"/>
        <v>80200859.930000007</v>
      </c>
      <c r="M220" s="43">
        <f t="shared" si="87"/>
        <v>0</v>
      </c>
      <c r="N220" s="43">
        <f t="shared" si="87"/>
        <v>80200859.930000007</v>
      </c>
      <c r="O220" s="62">
        <f t="shared" si="87"/>
        <v>80200859.930000007</v>
      </c>
      <c r="P220" s="43">
        <f t="shared" si="87"/>
        <v>0</v>
      </c>
      <c r="Q220" s="43">
        <f t="shared" si="87"/>
        <v>80200859.930000007</v>
      </c>
    </row>
    <row r="221" spans="1:17" ht="30" x14ac:dyDescent="0.25">
      <c r="A221" s="96" t="s">
        <v>153</v>
      </c>
      <c r="B221" s="97" t="s">
        <v>397</v>
      </c>
      <c r="C221" s="98" t="s">
        <v>162</v>
      </c>
      <c r="D221" s="98" t="s">
        <v>244</v>
      </c>
      <c r="E221" s="98" t="s">
        <v>254</v>
      </c>
      <c r="F221" s="98" t="s">
        <v>158</v>
      </c>
      <c r="G221" s="103">
        <v>92105970.360000014</v>
      </c>
      <c r="H221" s="44">
        <v>5299.52</v>
      </c>
      <c r="I221" s="103">
        <f>G221+H221</f>
        <v>92111269.88000001</v>
      </c>
      <c r="J221" s="44">
        <f>'По разделам 4'!I117</f>
        <v>3726691.14</v>
      </c>
      <c r="K221" s="103">
        <f>I221+J221</f>
        <v>95837961.020000011</v>
      </c>
      <c r="L221" s="106">
        <v>80200859.930000007</v>
      </c>
      <c r="M221" s="44">
        <v>0</v>
      </c>
      <c r="N221" s="103">
        <f>L221+M221</f>
        <v>80200859.930000007</v>
      </c>
      <c r="O221" s="1">
        <v>80200859.930000007</v>
      </c>
      <c r="P221" s="44">
        <v>0</v>
      </c>
      <c r="Q221" s="103">
        <f>O221+P221</f>
        <v>80200859.930000007</v>
      </c>
    </row>
    <row r="222" spans="1:17" outlineLevel="1" x14ac:dyDescent="0.25">
      <c r="A222" s="96" t="s">
        <v>169</v>
      </c>
      <c r="B222" s="97" t="s">
        <v>397</v>
      </c>
      <c r="C222" s="98" t="s">
        <v>162</v>
      </c>
      <c r="D222" s="98" t="s">
        <v>244</v>
      </c>
      <c r="E222" s="98" t="s">
        <v>254</v>
      </c>
      <c r="F222" s="98" t="s">
        <v>171</v>
      </c>
      <c r="G222" s="103">
        <v>0</v>
      </c>
      <c r="H222" s="103">
        <v>35279265.229999997</v>
      </c>
      <c r="I222" s="103">
        <f>G222+H222</f>
        <v>35279265.229999997</v>
      </c>
      <c r="J222" s="99">
        <v>0</v>
      </c>
      <c r="K222" s="103">
        <f>I222+J222</f>
        <v>35279265.229999997</v>
      </c>
      <c r="L222" s="103">
        <v>0</v>
      </c>
      <c r="M222" s="103">
        <v>0</v>
      </c>
      <c r="N222" s="103">
        <f>L222+M222</f>
        <v>0</v>
      </c>
      <c r="O222" s="107">
        <v>0</v>
      </c>
      <c r="P222" s="103">
        <v>0</v>
      </c>
      <c r="Q222" s="103">
        <f>O222+P222</f>
        <v>0</v>
      </c>
    </row>
    <row r="223" spans="1:17" ht="40.5" hidden="1" outlineLevel="3" x14ac:dyDescent="0.25">
      <c r="A223" s="34" t="s">
        <v>405</v>
      </c>
      <c r="B223" s="35" t="s">
        <v>397</v>
      </c>
      <c r="C223" s="36" t="s">
        <v>162</v>
      </c>
      <c r="D223" s="36" t="s">
        <v>244</v>
      </c>
      <c r="E223" s="36" t="s">
        <v>406</v>
      </c>
      <c r="F223" s="36" t="s">
        <v>0</v>
      </c>
      <c r="G223" s="43">
        <f t="shared" ref="G223:Q223" si="88">G224</f>
        <v>0</v>
      </c>
      <c r="H223" s="43">
        <f t="shared" si="88"/>
        <v>0</v>
      </c>
      <c r="I223" s="43">
        <f t="shared" si="88"/>
        <v>0</v>
      </c>
      <c r="J223" s="43">
        <f t="shared" si="88"/>
        <v>0</v>
      </c>
      <c r="K223" s="43">
        <f t="shared" si="88"/>
        <v>0</v>
      </c>
      <c r="L223" s="43">
        <f t="shared" si="88"/>
        <v>0</v>
      </c>
      <c r="M223" s="43">
        <f t="shared" si="88"/>
        <v>0</v>
      </c>
      <c r="N223" s="43">
        <f t="shared" si="88"/>
        <v>0</v>
      </c>
      <c r="O223" s="43">
        <f t="shared" si="88"/>
        <v>0</v>
      </c>
      <c r="P223" s="43">
        <f t="shared" si="88"/>
        <v>0</v>
      </c>
      <c r="Q223" s="43">
        <f t="shared" si="88"/>
        <v>0</v>
      </c>
    </row>
    <row r="224" spans="1:17" outlineLevel="1" collapsed="1" x14ac:dyDescent="0.25">
      <c r="A224" s="96" t="s">
        <v>387</v>
      </c>
      <c r="B224" s="97" t="s">
        <v>397</v>
      </c>
      <c r="C224" s="98" t="s">
        <v>162</v>
      </c>
      <c r="D224" s="98" t="s">
        <v>244</v>
      </c>
      <c r="E224" s="98" t="s">
        <v>406</v>
      </c>
      <c r="F224" s="98" t="s">
        <v>158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  <c r="O224" s="103">
        <v>0</v>
      </c>
      <c r="P224" s="103">
        <v>0</v>
      </c>
      <c r="Q224" s="103">
        <v>0</v>
      </c>
    </row>
    <row r="225" spans="1:17" x14ac:dyDescent="0.25">
      <c r="A225" s="30" t="s">
        <v>269</v>
      </c>
      <c r="B225" s="31" t="s">
        <v>397</v>
      </c>
      <c r="C225" s="32" t="s">
        <v>234</v>
      </c>
      <c r="D225" s="32" t="s">
        <v>0</v>
      </c>
      <c r="E225" s="32" t="s">
        <v>0</v>
      </c>
      <c r="F225" s="32" t="s">
        <v>0</v>
      </c>
      <c r="G225" s="42">
        <f t="shared" ref="G225:Q225" si="89">G226+G237+G251+G280</f>
        <v>165109926.21316889</v>
      </c>
      <c r="H225" s="42">
        <f t="shared" si="89"/>
        <v>313077854.06</v>
      </c>
      <c r="I225" s="42">
        <f t="shared" si="89"/>
        <v>478187780.2731688</v>
      </c>
      <c r="J225" s="42">
        <f t="shared" si="89"/>
        <v>-14346163.59</v>
      </c>
      <c r="K225" s="42">
        <f t="shared" si="89"/>
        <v>463841616.68316889</v>
      </c>
      <c r="L225" s="42">
        <f t="shared" si="89"/>
        <v>108198131.31517862</v>
      </c>
      <c r="M225" s="42">
        <f t="shared" si="89"/>
        <v>0</v>
      </c>
      <c r="N225" s="42">
        <f t="shared" si="89"/>
        <v>108198131.31517862</v>
      </c>
      <c r="O225" s="42">
        <f t="shared" si="89"/>
        <v>117799140.06740916</v>
      </c>
      <c r="P225" s="42">
        <f t="shared" si="89"/>
        <v>0</v>
      </c>
      <c r="Q225" s="42">
        <f t="shared" si="89"/>
        <v>117799140.06740916</v>
      </c>
    </row>
    <row r="226" spans="1:17" x14ac:dyDescent="0.25">
      <c r="A226" s="30" t="s">
        <v>270</v>
      </c>
      <c r="B226" s="31" t="s">
        <v>397</v>
      </c>
      <c r="C226" s="32" t="s">
        <v>234</v>
      </c>
      <c r="D226" s="32" t="s">
        <v>142</v>
      </c>
      <c r="E226" s="32" t="s">
        <v>0</v>
      </c>
      <c r="F226" s="32" t="s">
        <v>0</v>
      </c>
      <c r="G226" s="42">
        <f t="shared" ref="G226:Q226" si="90">G227</f>
        <v>7409612.7300000004</v>
      </c>
      <c r="H226" s="42">
        <f t="shared" si="90"/>
        <v>18917250.039999999</v>
      </c>
      <c r="I226" s="42">
        <f t="shared" si="90"/>
        <v>26326862.77</v>
      </c>
      <c r="J226" s="42">
        <f t="shared" si="90"/>
        <v>2521624.6399999997</v>
      </c>
      <c r="K226" s="42">
        <f t="shared" si="90"/>
        <v>28848487.41</v>
      </c>
      <c r="L226" s="42">
        <f t="shared" si="90"/>
        <v>1035150</v>
      </c>
      <c r="M226" s="42">
        <f t="shared" si="90"/>
        <v>0</v>
      </c>
      <c r="N226" s="42">
        <f t="shared" si="90"/>
        <v>1035150</v>
      </c>
      <c r="O226" s="42">
        <f t="shared" si="90"/>
        <v>1035150</v>
      </c>
      <c r="P226" s="42">
        <f t="shared" si="90"/>
        <v>0</v>
      </c>
      <c r="Q226" s="42">
        <f t="shared" si="90"/>
        <v>1035150</v>
      </c>
    </row>
    <row r="227" spans="1:17" ht="14.25" customHeight="1" x14ac:dyDescent="0.25">
      <c r="A227" s="30" t="s">
        <v>257</v>
      </c>
      <c r="B227" s="31" t="s">
        <v>397</v>
      </c>
      <c r="C227" s="32" t="s">
        <v>234</v>
      </c>
      <c r="D227" s="32" t="s">
        <v>142</v>
      </c>
      <c r="E227" s="32" t="s">
        <v>258</v>
      </c>
      <c r="F227" s="32" t="s">
        <v>0</v>
      </c>
      <c r="G227" s="42">
        <f>G228</f>
        <v>7409612.7300000004</v>
      </c>
      <c r="H227" s="42">
        <f>H228</f>
        <v>18917250.039999999</v>
      </c>
      <c r="I227" s="42">
        <f>I228</f>
        <v>26326862.77</v>
      </c>
      <c r="J227" s="42">
        <f>J228</f>
        <v>2521624.6399999997</v>
      </c>
      <c r="K227" s="42">
        <f>K228</f>
        <v>28848487.41</v>
      </c>
      <c r="L227" s="42">
        <f t="shared" ref="L227:O227" si="91">L228</f>
        <v>1035150</v>
      </c>
      <c r="M227" s="42">
        <f>M228</f>
        <v>0</v>
      </c>
      <c r="N227" s="42">
        <f>N228</f>
        <v>1035150</v>
      </c>
      <c r="O227" s="42">
        <f t="shared" si="91"/>
        <v>1035150</v>
      </c>
      <c r="P227" s="42">
        <f>P228</f>
        <v>0</v>
      </c>
      <c r="Q227" s="42">
        <f>Q228</f>
        <v>1035150</v>
      </c>
    </row>
    <row r="228" spans="1:17" x14ac:dyDescent="0.25">
      <c r="A228" s="30" t="s">
        <v>165</v>
      </c>
      <c r="B228" s="31" t="s">
        <v>397</v>
      </c>
      <c r="C228" s="32" t="s">
        <v>234</v>
      </c>
      <c r="D228" s="32" t="s">
        <v>142</v>
      </c>
      <c r="E228" s="32" t="s">
        <v>259</v>
      </c>
      <c r="F228" s="32" t="s">
        <v>0</v>
      </c>
      <c r="G228" s="42">
        <f>G229+G231+G234</f>
        <v>7409612.7300000004</v>
      </c>
      <c r="H228" s="42">
        <f>H229+H231+H234</f>
        <v>18917250.039999999</v>
      </c>
      <c r="I228" s="42">
        <f>I229+I231+I234</f>
        <v>26326862.77</v>
      </c>
      <c r="J228" s="42">
        <f>J229+J231+J234</f>
        <v>2521624.6399999997</v>
      </c>
      <c r="K228" s="42">
        <f>K229+K231+K234</f>
        <v>28848487.41</v>
      </c>
      <c r="L228" s="42">
        <f t="shared" ref="L228:O228" si="92">L229+L231+L234</f>
        <v>1035150</v>
      </c>
      <c r="M228" s="42">
        <f>M229+M231+M234</f>
        <v>0</v>
      </c>
      <c r="N228" s="42">
        <f>N229+N231+N234</f>
        <v>1035150</v>
      </c>
      <c r="O228" s="42">
        <f t="shared" si="92"/>
        <v>1035150</v>
      </c>
      <c r="P228" s="42">
        <f>P229+P231+P234</f>
        <v>0</v>
      </c>
      <c r="Q228" s="42">
        <f>Q229+Q231+Q234</f>
        <v>1035150</v>
      </c>
    </row>
    <row r="229" spans="1:17" ht="27" customHeight="1" x14ac:dyDescent="0.25">
      <c r="A229" s="34" t="s">
        <v>271</v>
      </c>
      <c r="B229" s="35" t="s">
        <v>397</v>
      </c>
      <c r="C229" s="36" t="s">
        <v>234</v>
      </c>
      <c r="D229" s="36" t="s">
        <v>142</v>
      </c>
      <c r="E229" s="36" t="s">
        <v>272</v>
      </c>
      <c r="F229" s="36" t="s">
        <v>0</v>
      </c>
      <c r="G229" s="43">
        <f t="shared" ref="G229:Q229" si="93">G230</f>
        <v>2138588.56</v>
      </c>
      <c r="H229" s="43">
        <f t="shared" si="93"/>
        <v>0</v>
      </c>
      <c r="I229" s="43">
        <f t="shared" si="93"/>
        <v>2138588.56</v>
      </c>
      <c r="J229" s="43">
        <f t="shared" si="93"/>
        <v>0</v>
      </c>
      <c r="K229" s="43">
        <f t="shared" si="93"/>
        <v>2138588.56</v>
      </c>
      <c r="L229" s="43">
        <f t="shared" si="93"/>
        <v>0</v>
      </c>
      <c r="M229" s="43">
        <f t="shared" si="93"/>
        <v>0</v>
      </c>
      <c r="N229" s="43">
        <f t="shared" si="93"/>
        <v>0</v>
      </c>
      <c r="O229" s="43">
        <f t="shared" si="93"/>
        <v>0</v>
      </c>
      <c r="P229" s="43">
        <f t="shared" si="93"/>
        <v>0</v>
      </c>
      <c r="Q229" s="43">
        <f t="shared" si="93"/>
        <v>0</v>
      </c>
    </row>
    <row r="230" spans="1:17" ht="30" x14ac:dyDescent="0.25">
      <c r="A230" s="96" t="s">
        <v>153</v>
      </c>
      <c r="B230" s="97" t="s">
        <v>397</v>
      </c>
      <c r="C230" s="98" t="s">
        <v>234</v>
      </c>
      <c r="D230" s="98" t="s">
        <v>142</v>
      </c>
      <c r="E230" s="98" t="s">
        <v>272</v>
      </c>
      <c r="F230" s="98" t="s">
        <v>158</v>
      </c>
      <c r="G230" s="103">
        <v>2138588.56</v>
      </c>
      <c r="H230" s="103">
        <v>0</v>
      </c>
      <c r="I230" s="103">
        <f>G230+H230</f>
        <v>2138588.56</v>
      </c>
      <c r="J230" s="103">
        <v>0</v>
      </c>
      <c r="K230" s="103">
        <f>I230+J230</f>
        <v>2138588.56</v>
      </c>
      <c r="L230" s="103">
        <v>0</v>
      </c>
      <c r="M230" s="103">
        <v>0</v>
      </c>
      <c r="N230" s="103">
        <f>L230+M230</f>
        <v>0</v>
      </c>
      <c r="O230" s="103">
        <v>0</v>
      </c>
      <c r="P230" s="103">
        <v>0</v>
      </c>
      <c r="Q230" s="103">
        <f>O230+P230</f>
        <v>0</v>
      </c>
    </row>
    <row r="231" spans="1:17" x14ac:dyDescent="0.25">
      <c r="A231" s="34" t="s">
        <v>273</v>
      </c>
      <c r="B231" s="35" t="s">
        <v>397</v>
      </c>
      <c r="C231" s="36" t="s">
        <v>234</v>
      </c>
      <c r="D231" s="36" t="s">
        <v>142</v>
      </c>
      <c r="E231" s="36" t="s">
        <v>274</v>
      </c>
      <c r="F231" s="36" t="s">
        <v>0</v>
      </c>
      <c r="G231" s="43">
        <f t="shared" ref="G231:Q231" si="94">G232+G233</f>
        <v>2468703.17</v>
      </c>
      <c r="H231" s="43">
        <f t="shared" si="94"/>
        <v>18917250.039999999</v>
      </c>
      <c r="I231" s="43">
        <f t="shared" si="94"/>
        <v>21385953.210000001</v>
      </c>
      <c r="J231" s="43">
        <f t="shared" si="94"/>
        <v>-170692.2</v>
      </c>
      <c r="K231" s="43">
        <f t="shared" si="94"/>
        <v>21215261.010000002</v>
      </c>
      <c r="L231" s="43">
        <f t="shared" si="94"/>
        <v>0</v>
      </c>
      <c r="M231" s="43">
        <f t="shared" si="94"/>
        <v>0</v>
      </c>
      <c r="N231" s="43">
        <f t="shared" si="94"/>
        <v>0</v>
      </c>
      <c r="O231" s="43">
        <f t="shared" si="94"/>
        <v>0</v>
      </c>
      <c r="P231" s="43">
        <f t="shared" si="94"/>
        <v>0</v>
      </c>
      <c r="Q231" s="43">
        <f t="shared" si="94"/>
        <v>0</v>
      </c>
    </row>
    <row r="232" spans="1:17" x14ac:dyDescent="0.25">
      <c r="A232" s="96" t="s">
        <v>387</v>
      </c>
      <c r="B232" s="97" t="s">
        <v>397</v>
      </c>
      <c r="C232" s="98" t="s">
        <v>234</v>
      </c>
      <c r="D232" s="98" t="s">
        <v>142</v>
      </c>
      <c r="E232" s="98" t="s">
        <v>274</v>
      </c>
      <c r="F232" s="98" t="s">
        <v>158</v>
      </c>
      <c r="G232" s="103">
        <v>2468703.17</v>
      </c>
      <c r="H232" s="103">
        <f>2006791.85+14126475.85+2783982.34</f>
        <v>18917250.039999999</v>
      </c>
      <c r="I232" s="103">
        <f>G232+H232</f>
        <v>21385953.210000001</v>
      </c>
      <c r="J232" s="103">
        <v>-170692.2</v>
      </c>
      <c r="K232" s="103">
        <f>I232+J232</f>
        <v>21215261.010000002</v>
      </c>
      <c r="L232" s="103">
        <v>0</v>
      </c>
      <c r="M232" s="103">
        <v>0</v>
      </c>
      <c r="N232" s="103">
        <f>L232+M232</f>
        <v>0</v>
      </c>
      <c r="O232" s="103">
        <v>0</v>
      </c>
      <c r="P232" s="103">
        <v>0</v>
      </c>
      <c r="Q232" s="103">
        <f>O232+P232</f>
        <v>0</v>
      </c>
    </row>
    <row r="233" spans="1:17" ht="12.75" hidden="1" customHeight="1" x14ac:dyDescent="0.25">
      <c r="A233" s="96" t="s">
        <v>169</v>
      </c>
      <c r="B233" s="97" t="s">
        <v>397</v>
      </c>
      <c r="C233" s="98" t="s">
        <v>234</v>
      </c>
      <c r="D233" s="98" t="s">
        <v>142</v>
      </c>
      <c r="E233" s="98" t="s">
        <v>274</v>
      </c>
      <c r="F233" s="98" t="s">
        <v>171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  <c r="O233" s="103">
        <v>0</v>
      </c>
      <c r="P233" s="103">
        <v>0</v>
      </c>
      <c r="Q233" s="103">
        <v>0</v>
      </c>
    </row>
    <row r="234" spans="1:17" x14ac:dyDescent="0.25">
      <c r="A234" s="34" t="s">
        <v>275</v>
      </c>
      <c r="B234" s="35" t="s">
        <v>397</v>
      </c>
      <c r="C234" s="36" t="s">
        <v>234</v>
      </c>
      <c r="D234" s="36" t="s">
        <v>142</v>
      </c>
      <c r="E234" s="36" t="s">
        <v>276</v>
      </c>
      <c r="F234" s="36" t="s">
        <v>0</v>
      </c>
      <c r="G234" s="43">
        <f t="shared" ref="G234:Q234" si="95">G235+G236</f>
        <v>2802321</v>
      </c>
      <c r="H234" s="43">
        <f t="shared" si="95"/>
        <v>0</v>
      </c>
      <c r="I234" s="43">
        <f t="shared" si="95"/>
        <v>2802321</v>
      </c>
      <c r="J234" s="43">
        <f t="shared" si="95"/>
        <v>2692316.84</v>
      </c>
      <c r="K234" s="43">
        <f t="shared" si="95"/>
        <v>5494637.8399999999</v>
      </c>
      <c r="L234" s="43">
        <f t="shared" si="95"/>
        <v>1035150</v>
      </c>
      <c r="M234" s="43">
        <f t="shared" si="95"/>
        <v>0</v>
      </c>
      <c r="N234" s="43">
        <f t="shared" si="95"/>
        <v>1035150</v>
      </c>
      <c r="O234" s="43">
        <f t="shared" si="95"/>
        <v>1035150</v>
      </c>
      <c r="P234" s="43">
        <f t="shared" si="95"/>
        <v>0</v>
      </c>
      <c r="Q234" s="43">
        <f t="shared" si="95"/>
        <v>1035150</v>
      </c>
    </row>
    <row r="235" spans="1:17" ht="30" x14ac:dyDescent="0.25">
      <c r="A235" s="96" t="s">
        <v>153</v>
      </c>
      <c r="B235" s="97" t="s">
        <v>397</v>
      </c>
      <c r="C235" s="98" t="s">
        <v>234</v>
      </c>
      <c r="D235" s="98" t="s">
        <v>142</v>
      </c>
      <c r="E235" s="98" t="s">
        <v>276</v>
      </c>
      <c r="F235" s="98" t="s">
        <v>158</v>
      </c>
      <c r="G235" s="103">
        <v>2802321</v>
      </c>
      <c r="H235" s="103">
        <v>0</v>
      </c>
      <c r="I235" s="103">
        <f>G235+H235</f>
        <v>2802321</v>
      </c>
      <c r="J235" s="103">
        <f>'По разделам 4'!I142</f>
        <v>2692316.84</v>
      </c>
      <c r="K235" s="103">
        <f>I235+J235</f>
        <v>5494637.8399999999</v>
      </c>
      <c r="L235" s="103">
        <v>1035150</v>
      </c>
      <c r="M235" s="103">
        <v>0</v>
      </c>
      <c r="N235" s="103">
        <f>L235+M235</f>
        <v>1035150</v>
      </c>
      <c r="O235" s="103">
        <v>1035150</v>
      </c>
      <c r="P235" s="103">
        <v>0</v>
      </c>
      <c r="Q235" s="103">
        <f>O235+P235</f>
        <v>1035150</v>
      </c>
    </row>
    <row r="236" spans="1:17" x14ac:dyDescent="0.25">
      <c r="A236" s="96" t="s">
        <v>172</v>
      </c>
      <c r="B236" s="97" t="s">
        <v>397</v>
      </c>
      <c r="C236" s="98" t="s">
        <v>234</v>
      </c>
      <c r="D236" s="98" t="s">
        <v>142</v>
      </c>
      <c r="E236" s="98" t="s">
        <v>276</v>
      </c>
      <c r="F236" s="98" t="s">
        <v>173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  <c r="O236" s="103">
        <v>0</v>
      </c>
      <c r="P236" s="103">
        <v>0</v>
      </c>
      <c r="Q236" s="103">
        <v>0</v>
      </c>
    </row>
    <row r="237" spans="1:17" x14ac:dyDescent="0.25">
      <c r="A237" s="30" t="s">
        <v>277</v>
      </c>
      <c r="B237" s="31" t="s">
        <v>397</v>
      </c>
      <c r="C237" s="32" t="s">
        <v>234</v>
      </c>
      <c r="D237" s="32" t="s">
        <v>144</v>
      </c>
      <c r="E237" s="32" t="s">
        <v>0</v>
      </c>
      <c r="F237" s="32" t="s">
        <v>0</v>
      </c>
      <c r="G237" s="42">
        <f t="shared" ref="G237:Q237" si="96">G238</f>
        <v>28121821.129999995</v>
      </c>
      <c r="H237" s="42">
        <f t="shared" si="96"/>
        <v>115365400.81999999</v>
      </c>
      <c r="I237" s="42">
        <f t="shared" si="96"/>
        <v>143487221.94999999</v>
      </c>
      <c r="J237" s="42">
        <f t="shared" si="96"/>
        <v>-4624474.09</v>
      </c>
      <c r="K237" s="42">
        <f t="shared" si="96"/>
        <v>138862747.85999998</v>
      </c>
      <c r="L237" s="42">
        <f t="shared" si="96"/>
        <v>2891121</v>
      </c>
      <c r="M237" s="42">
        <f t="shared" si="96"/>
        <v>0</v>
      </c>
      <c r="N237" s="42">
        <f t="shared" si="96"/>
        <v>2891121</v>
      </c>
      <c r="O237" s="42">
        <f t="shared" si="96"/>
        <v>2994121</v>
      </c>
      <c r="P237" s="42">
        <f t="shared" si="96"/>
        <v>0</v>
      </c>
      <c r="Q237" s="42">
        <f t="shared" si="96"/>
        <v>2994121</v>
      </c>
    </row>
    <row r="238" spans="1:17" ht="18.75" customHeight="1" x14ac:dyDescent="0.25">
      <c r="A238" s="30" t="s">
        <v>257</v>
      </c>
      <c r="B238" s="31" t="s">
        <v>397</v>
      </c>
      <c r="C238" s="32" t="s">
        <v>234</v>
      </c>
      <c r="D238" s="32" t="s">
        <v>144</v>
      </c>
      <c r="E238" s="32" t="s">
        <v>258</v>
      </c>
      <c r="F238" s="32" t="s">
        <v>0</v>
      </c>
      <c r="G238" s="42">
        <f>G239</f>
        <v>28121821.129999995</v>
      </c>
      <c r="H238" s="42">
        <f>H239</f>
        <v>115365400.81999999</v>
      </c>
      <c r="I238" s="42">
        <f>I239</f>
        <v>143487221.94999999</v>
      </c>
      <c r="J238" s="42">
        <f>J239</f>
        <v>-4624474.09</v>
      </c>
      <c r="K238" s="42">
        <f>K239</f>
        <v>138862747.85999998</v>
      </c>
      <c r="L238" s="42">
        <f t="shared" ref="L238:O238" si="97">L239</f>
        <v>2891121</v>
      </c>
      <c r="M238" s="42">
        <f>M239</f>
        <v>0</v>
      </c>
      <c r="N238" s="42">
        <f>N239</f>
        <v>2891121</v>
      </c>
      <c r="O238" s="42">
        <f t="shared" si="97"/>
        <v>2994121</v>
      </c>
      <c r="P238" s="42">
        <f>P239</f>
        <v>0</v>
      </c>
      <c r="Q238" s="42">
        <f>Q239</f>
        <v>2994121</v>
      </c>
    </row>
    <row r="239" spans="1:17" x14ac:dyDescent="0.25">
      <c r="A239" s="30" t="s">
        <v>165</v>
      </c>
      <c r="B239" s="31" t="s">
        <v>397</v>
      </c>
      <c r="C239" s="32" t="s">
        <v>234</v>
      </c>
      <c r="D239" s="32" t="s">
        <v>144</v>
      </c>
      <c r="E239" s="32" t="s">
        <v>259</v>
      </c>
      <c r="F239" s="32" t="s">
        <v>0</v>
      </c>
      <c r="G239" s="42">
        <f t="shared" ref="G239:Q239" si="98">G244+G246+G249+G240</f>
        <v>28121821.129999995</v>
      </c>
      <c r="H239" s="42">
        <f t="shared" si="98"/>
        <v>115365400.81999999</v>
      </c>
      <c r="I239" s="42">
        <f t="shared" si="98"/>
        <v>143487221.94999999</v>
      </c>
      <c r="J239" s="42">
        <f t="shared" si="98"/>
        <v>-4624474.09</v>
      </c>
      <c r="K239" s="42">
        <f t="shared" si="98"/>
        <v>138862747.85999998</v>
      </c>
      <c r="L239" s="42">
        <f t="shared" si="98"/>
        <v>2891121</v>
      </c>
      <c r="M239" s="42">
        <f t="shared" si="98"/>
        <v>0</v>
      </c>
      <c r="N239" s="42">
        <f t="shared" si="98"/>
        <v>2891121</v>
      </c>
      <c r="O239" s="42">
        <f t="shared" si="98"/>
        <v>2994121</v>
      </c>
      <c r="P239" s="42">
        <f t="shared" si="98"/>
        <v>0</v>
      </c>
      <c r="Q239" s="42">
        <f t="shared" si="98"/>
        <v>2994121</v>
      </c>
    </row>
    <row r="240" spans="1:17" ht="12" customHeight="1" x14ac:dyDescent="0.25">
      <c r="A240" s="48" t="s">
        <v>278</v>
      </c>
      <c r="B240" s="36" t="s">
        <v>397</v>
      </c>
      <c r="C240" s="36" t="s">
        <v>234</v>
      </c>
      <c r="D240" s="36" t="s">
        <v>144</v>
      </c>
      <c r="E240" s="36" t="s">
        <v>279</v>
      </c>
      <c r="F240" s="36" t="s">
        <v>0</v>
      </c>
      <c r="G240" s="43">
        <f t="shared" ref="G240:Q240" si="99">G241+G242+G243</f>
        <v>6002092</v>
      </c>
      <c r="H240" s="43">
        <f t="shared" si="99"/>
        <v>3236998.49</v>
      </c>
      <c r="I240" s="43">
        <f t="shared" si="99"/>
        <v>9239090.4900000002</v>
      </c>
      <c r="J240" s="43">
        <f t="shared" si="99"/>
        <v>3275065.08</v>
      </c>
      <c r="K240" s="43">
        <f t="shared" si="99"/>
        <v>12514155.57</v>
      </c>
      <c r="L240" s="43">
        <f t="shared" si="99"/>
        <v>2891121</v>
      </c>
      <c r="M240" s="43">
        <f t="shared" si="99"/>
        <v>0</v>
      </c>
      <c r="N240" s="43">
        <f t="shared" si="99"/>
        <v>2891121</v>
      </c>
      <c r="O240" s="43">
        <f t="shared" si="99"/>
        <v>2994121</v>
      </c>
      <c r="P240" s="43">
        <f t="shared" si="99"/>
        <v>0</v>
      </c>
      <c r="Q240" s="43">
        <f t="shared" si="99"/>
        <v>2994121</v>
      </c>
    </row>
    <row r="241" spans="1:17" ht="30" x14ac:dyDescent="0.25">
      <c r="A241" s="96" t="s">
        <v>153</v>
      </c>
      <c r="B241" s="97" t="s">
        <v>397</v>
      </c>
      <c r="C241" s="98" t="s">
        <v>234</v>
      </c>
      <c r="D241" s="98" t="s">
        <v>144</v>
      </c>
      <c r="E241" s="98" t="s">
        <v>279</v>
      </c>
      <c r="F241" s="98" t="s">
        <v>158</v>
      </c>
      <c r="G241" s="103">
        <v>2994121</v>
      </c>
      <c r="H241" s="103">
        <v>181761.1</v>
      </c>
      <c r="I241" s="103">
        <f>G241+H241</f>
        <v>3175882.1</v>
      </c>
      <c r="J241" s="103">
        <f>'По разделам 4'!I147</f>
        <v>75435.100000000006</v>
      </c>
      <c r="K241" s="103">
        <f>I241+J241</f>
        <v>3251317.2</v>
      </c>
      <c r="L241" s="103">
        <v>2891121</v>
      </c>
      <c r="M241" s="103">
        <v>0</v>
      </c>
      <c r="N241" s="103">
        <f>L241+M241</f>
        <v>2891121</v>
      </c>
      <c r="O241" s="103">
        <v>2994121</v>
      </c>
      <c r="P241" s="103">
        <v>0</v>
      </c>
      <c r="Q241" s="103">
        <f>O241+P241</f>
        <v>2994121</v>
      </c>
    </row>
    <row r="242" spans="1:17" x14ac:dyDescent="0.25">
      <c r="A242" s="96" t="s">
        <v>169</v>
      </c>
      <c r="B242" s="97" t="s">
        <v>397</v>
      </c>
      <c r="C242" s="98" t="s">
        <v>234</v>
      </c>
      <c r="D242" s="98" t="s">
        <v>144</v>
      </c>
      <c r="E242" s="98" t="s">
        <v>279</v>
      </c>
      <c r="F242" s="98" t="s">
        <v>171</v>
      </c>
      <c r="G242" s="103">
        <v>0</v>
      </c>
      <c r="H242" s="103">
        <v>0</v>
      </c>
      <c r="I242" s="103">
        <f>G242+H242</f>
        <v>0</v>
      </c>
      <c r="J242" s="103">
        <f>'По разделам 4'!I148</f>
        <v>0</v>
      </c>
      <c r="K242" s="103">
        <f>I242+J242</f>
        <v>0</v>
      </c>
      <c r="L242" s="103">
        <v>0</v>
      </c>
      <c r="M242" s="103">
        <v>0</v>
      </c>
      <c r="N242" s="103">
        <f>L242+M242</f>
        <v>0</v>
      </c>
      <c r="O242" s="103">
        <v>0</v>
      </c>
      <c r="P242" s="103">
        <v>0</v>
      </c>
      <c r="Q242" s="103">
        <f>O242+P242</f>
        <v>0</v>
      </c>
    </row>
    <row r="243" spans="1:17" x14ac:dyDescent="0.25">
      <c r="A243" s="96" t="s">
        <v>172</v>
      </c>
      <c r="B243" s="97" t="s">
        <v>397</v>
      </c>
      <c r="C243" s="98" t="s">
        <v>234</v>
      </c>
      <c r="D243" s="98" t="s">
        <v>144</v>
      </c>
      <c r="E243" s="98" t="s">
        <v>279</v>
      </c>
      <c r="F243" s="98" t="s">
        <v>173</v>
      </c>
      <c r="G243" s="103">
        <v>3007971</v>
      </c>
      <c r="H243" s="44">
        <v>3055237.39</v>
      </c>
      <c r="I243" s="103">
        <f>G243+H243</f>
        <v>6063208.3900000006</v>
      </c>
      <c r="J243" s="103">
        <f>'По разделам 4'!I149</f>
        <v>3199629.98</v>
      </c>
      <c r="K243" s="103">
        <f>I243+J243</f>
        <v>9262838.370000001</v>
      </c>
      <c r="L243" s="103">
        <v>0</v>
      </c>
      <c r="M243" s="44">
        <v>0</v>
      </c>
      <c r="N243" s="103">
        <f>L243+M243</f>
        <v>0</v>
      </c>
      <c r="O243" s="103">
        <v>0</v>
      </c>
      <c r="P243" s="44">
        <v>0</v>
      </c>
      <c r="Q243" s="103">
        <f>O243+P243</f>
        <v>0</v>
      </c>
    </row>
    <row r="244" spans="1:17" ht="23.25" customHeight="1" x14ac:dyDescent="0.25">
      <c r="A244" s="61" t="s">
        <v>280</v>
      </c>
      <c r="B244" s="35" t="s">
        <v>397</v>
      </c>
      <c r="C244" s="36" t="s">
        <v>234</v>
      </c>
      <c r="D244" s="36" t="s">
        <v>144</v>
      </c>
      <c r="E244" s="36" t="s">
        <v>281</v>
      </c>
      <c r="F244" s="36" t="s">
        <v>0</v>
      </c>
      <c r="G244" s="43">
        <f>G245</f>
        <v>14119729.129999999</v>
      </c>
      <c r="H244" s="43">
        <f>H245</f>
        <v>0</v>
      </c>
      <c r="I244" s="43">
        <f>I245</f>
        <v>14119729.129999999</v>
      </c>
      <c r="J244" s="43">
        <f>J245</f>
        <v>0</v>
      </c>
      <c r="K244" s="43">
        <f>K245</f>
        <v>14119729.129999999</v>
      </c>
      <c r="L244" s="43">
        <f>L246+L245</f>
        <v>0</v>
      </c>
      <c r="M244" s="43">
        <f>M245</f>
        <v>0</v>
      </c>
      <c r="N244" s="43">
        <f>N245</f>
        <v>0</v>
      </c>
      <c r="O244" s="43">
        <f>O246+O245</f>
        <v>0</v>
      </c>
      <c r="P244" s="43">
        <f>P245</f>
        <v>0</v>
      </c>
      <c r="Q244" s="43">
        <f>Q245</f>
        <v>0</v>
      </c>
    </row>
    <row r="245" spans="1:17" ht="14.25" customHeight="1" x14ac:dyDescent="0.25">
      <c r="A245" s="96" t="s">
        <v>153</v>
      </c>
      <c r="B245" s="97" t="s">
        <v>397</v>
      </c>
      <c r="C245" s="98" t="s">
        <v>234</v>
      </c>
      <c r="D245" s="98" t="s">
        <v>144</v>
      </c>
      <c r="E245" s="50" t="s">
        <v>282</v>
      </c>
      <c r="F245" s="98">
        <v>200</v>
      </c>
      <c r="G245" s="103">
        <v>14119729.129999999</v>
      </c>
      <c r="H245" s="103">
        <v>0</v>
      </c>
      <c r="I245" s="103">
        <f>G245+H245</f>
        <v>14119729.129999999</v>
      </c>
      <c r="J245" s="103">
        <v>0</v>
      </c>
      <c r="K245" s="103">
        <f>I245+J245</f>
        <v>14119729.129999999</v>
      </c>
      <c r="L245" s="103">
        <v>0</v>
      </c>
      <c r="M245" s="103">
        <v>0</v>
      </c>
      <c r="N245" s="103">
        <f>L245+M245</f>
        <v>0</v>
      </c>
      <c r="O245" s="103">
        <v>0</v>
      </c>
      <c r="P245" s="103">
        <v>0</v>
      </c>
      <c r="Q245" s="103">
        <f>O245+P245</f>
        <v>0</v>
      </c>
    </row>
    <row r="246" spans="1:17" ht="26.25" customHeight="1" x14ac:dyDescent="0.25">
      <c r="A246" s="34" t="s">
        <v>283</v>
      </c>
      <c r="B246" s="35" t="s">
        <v>397</v>
      </c>
      <c r="C246" s="36" t="s">
        <v>234</v>
      </c>
      <c r="D246" s="36" t="s">
        <v>144</v>
      </c>
      <c r="E246" s="36" t="s">
        <v>284</v>
      </c>
      <c r="F246" s="36"/>
      <c r="G246" s="43">
        <f>G248+G247</f>
        <v>4893257.74</v>
      </c>
      <c r="H246" s="43">
        <f t="shared" ref="H246:O246" si="100">H248+H247</f>
        <v>112128402.33</v>
      </c>
      <c r="I246" s="43">
        <f t="shared" si="100"/>
        <v>117021660.06999999</v>
      </c>
      <c r="J246" s="43">
        <f t="shared" ref="J246" si="101">J248+J247</f>
        <v>-4792796.91</v>
      </c>
      <c r="K246" s="43">
        <f t="shared" ref="K246" si="102">K248+K247</f>
        <v>112228863.16</v>
      </c>
      <c r="L246" s="43">
        <f t="shared" si="100"/>
        <v>0</v>
      </c>
      <c r="M246" s="43">
        <f t="shared" ref="M246" si="103">M248+M247</f>
        <v>0</v>
      </c>
      <c r="N246" s="43">
        <f t="shared" ref="N246" si="104">N248+N247</f>
        <v>0</v>
      </c>
      <c r="O246" s="43">
        <f t="shared" si="100"/>
        <v>0</v>
      </c>
      <c r="P246" s="43">
        <f t="shared" ref="P246" si="105">P248+P247</f>
        <v>0</v>
      </c>
      <c r="Q246" s="43">
        <f t="shared" ref="Q246" si="106">Q248+Q247</f>
        <v>0</v>
      </c>
    </row>
    <row r="247" spans="1:17" ht="12.95" customHeight="1" x14ac:dyDescent="0.25">
      <c r="A247" s="96" t="s">
        <v>153</v>
      </c>
      <c r="B247" s="97" t="s">
        <v>397</v>
      </c>
      <c r="C247" s="98" t="s">
        <v>234</v>
      </c>
      <c r="D247" s="98" t="s">
        <v>144</v>
      </c>
      <c r="E247" s="50" t="s">
        <v>284</v>
      </c>
      <c r="F247" s="50">
        <v>200</v>
      </c>
      <c r="G247" s="51">
        <v>0</v>
      </c>
      <c r="H247" s="51">
        <v>1500000</v>
      </c>
      <c r="I247" s="51">
        <f>H247</f>
        <v>1500000</v>
      </c>
      <c r="J247" s="51">
        <v>0</v>
      </c>
      <c r="K247" s="103">
        <f>I247+J247</f>
        <v>1500000</v>
      </c>
      <c r="L247" s="51">
        <v>0</v>
      </c>
      <c r="M247" s="51">
        <v>0</v>
      </c>
      <c r="N247" s="103">
        <f>L247+M247</f>
        <v>0</v>
      </c>
      <c r="O247" s="51">
        <v>0</v>
      </c>
      <c r="P247" s="51">
        <v>0</v>
      </c>
      <c r="Q247" s="103">
        <f>O247+P247</f>
        <v>0</v>
      </c>
    </row>
    <row r="248" spans="1:17" ht="15.75" customHeight="1" x14ac:dyDescent="0.25">
      <c r="A248" s="96" t="s">
        <v>169</v>
      </c>
      <c r="B248" s="97" t="s">
        <v>397</v>
      </c>
      <c r="C248" s="98" t="s">
        <v>234</v>
      </c>
      <c r="D248" s="98" t="s">
        <v>144</v>
      </c>
      <c r="E248" s="50" t="s">
        <v>284</v>
      </c>
      <c r="F248" s="98">
        <v>400</v>
      </c>
      <c r="G248" s="103">
        <v>4893257.74</v>
      </c>
      <c r="H248" s="103">
        <f>42134937.3+68493465.03</f>
        <v>110628402.33</v>
      </c>
      <c r="I248" s="103">
        <f>G248+H248</f>
        <v>115521660.06999999</v>
      </c>
      <c r="J248" s="103">
        <f>'По разделам 4'!I154</f>
        <v>-4792796.91</v>
      </c>
      <c r="K248" s="103">
        <f>I248+J248</f>
        <v>110728863.16</v>
      </c>
      <c r="L248" s="103">
        <v>0</v>
      </c>
      <c r="M248" s="103">
        <v>0</v>
      </c>
      <c r="N248" s="103">
        <f>L248+M248</f>
        <v>0</v>
      </c>
      <c r="O248" s="103">
        <v>0</v>
      </c>
      <c r="P248" s="103">
        <v>0</v>
      </c>
      <c r="Q248" s="103">
        <f>O248+P248</f>
        <v>0</v>
      </c>
    </row>
    <row r="249" spans="1:17" ht="25.5" customHeight="1" x14ac:dyDescent="0.25">
      <c r="A249" s="34" t="s">
        <v>285</v>
      </c>
      <c r="B249" s="35" t="s">
        <v>397</v>
      </c>
      <c r="C249" s="36" t="s">
        <v>234</v>
      </c>
      <c r="D249" s="36" t="s">
        <v>144</v>
      </c>
      <c r="E249" s="36" t="s">
        <v>286</v>
      </c>
      <c r="F249" s="36"/>
      <c r="G249" s="43">
        <f>G250</f>
        <v>3106742.26</v>
      </c>
      <c r="H249" s="43">
        <f>H250</f>
        <v>0</v>
      </c>
      <c r="I249" s="43">
        <f>I250</f>
        <v>3106742.26</v>
      </c>
      <c r="J249" s="43">
        <f>J250</f>
        <v>-3106742.26</v>
      </c>
      <c r="K249" s="43">
        <f>K250</f>
        <v>0</v>
      </c>
      <c r="L249" s="43">
        <f t="shared" ref="L249:O249" si="107">L250</f>
        <v>0</v>
      </c>
      <c r="M249" s="43">
        <f>M250</f>
        <v>0</v>
      </c>
      <c r="N249" s="43">
        <f>N250</f>
        <v>0</v>
      </c>
      <c r="O249" s="43">
        <f t="shared" si="107"/>
        <v>0</v>
      </c>
      <c r="P249" s="43">
        <f>P250</f>
        <v>0</v>
      </c>
      <c r="Q249" s="43">
        <f>Q250</f>
        <v>0</v>
      </c>
    </row>
    <row r="250" spans="1:17" ht="15" customHeight="1" x14ac:dyDescent="0.25">
      <c r="A250" s="96" t="s">
        <v>169</v>
      </c>
      <c r="B250" s="97" t="s">
        <v>397</v>
      </c>
      <c r="C250" s="98" t="s">
        <v>234</v>
      </c>
      <c r="D250" s="98" t="s">
        <v>144</v>
      </c>
      <c r="E250" s="50" t="s">
        <v>286</v>
      </c>
      <c r="F250" s="98">
        <v>400</v>
      </c>
      <c r="G250" s="103">
        <v>3106742.26</v>
      </c>
      <c r="H250" s="103">
        <v>0</v>
      </c>
      <c r="I250" s="103">
        <f>G250+H250</f>
        <v>3106742.26</v>
      </c>
      <c r="J250" s="103">
        <f>'По разделам 4'!I156</f>
        <v>-3106742.26</v>
      </c>
      <c r="K250" s="103">
        <f>I250+J250</f>
        <v>0</v>
      </c>
      <c r="L250" s="103">
        <v>0</v>
      </c>
      <c r="M250" s="103">
        <v>0</v>
      </c>
      <c r="N250" s="103">
        <f>L250+M250</f>
        <v>0</v>
      </c>
      <c r="O250" s="103">
        <v>0</v>
      </c>
      <c r="P250" s="103">
        <v>0</v>
      </c>
      <c r="Q250" s="103">
        <f>O250+P250</f>
        <v>0</v>
      </c>
    </row>
    <row r="251" spans="1:17" x14ac:dyDescent="0.25">
      <c r="A251" s="30" t="s">
        <v>287</v>
      </c>
      <c r="B251" s="31" t="s">
        <v>397</v>
      </c>
      <c r="C251" s="32" t="s">
        <v>234</v>
      </c>
      <c r="D251" s="32" t="s">
        <v>155</v>
      </c>
      <c r="E251" s="32" t="s">
        <v>0</v>
      </c>
      <c r="F251" s="32" t="s">
        <v>0</v>
      </c>
      <c r="G251" s="42">
        <f t="shared" ref="G251:Q251" si="108">G252</f>
        <v>70591318.723000005</v>
      </c>
      <c r="H251" s="42">
        <f t="shared" si="108"/>
        <v>178729180.50999999</v>
      </c>
      <c r="I251" s="42">
        <f t="shared" si="108"/>
        <v>249320499.23299998</v>
      </c>
      <c r="J251" s="42">
        <f t="shared" si="108"/>
        <v>-12657919.140000001</v>
      </c>
      <c r="K251" s="42">
        <f t="shared" si="108"/>
        <v>236662580.09300002</v>
      </c>
      <c r="L251" s="33">
        <f t="shared" si="108"/>
        <v>42885704.107000008</v>
      </c>
      <c r="M251" s="42">
        <f t="shared" si="108"/>
        <v>0</v>
      </c>
      <c r="N251" s="42">
        <f t="shared" si="108"/>
        <v>42885704.107000008</v>
      </c>
      <c r="O251" s="33">
        <f t="shared" si="108"/>
        <v>49928266.609999999</v>
      </c>
      <c r="P251" s="42">
        <f t="shared" si="108"/>
        <v>0</v>
      </c>
      <c r="Q251" s="42">
        <f t="shared" si="108"/>
        <v>49928266.609999999</v>
      </c>
    </row>
    <row r="252" spans="1:17" ht="25.5" x14ac:dyDescent="0.25">
      <c r="A252" s="30" t="s">
        <v>250</v>
      </c>
      <c r="B252" s="31" t="s">
        <v>397</v>
      </c>
      <c r="C252" s="32" t="s">
        <v>234</v>
      </c>
      <c r="D252" s="32" t="s">
        <v>155</v>
      </c>
      <c r="E252" s="32" t="s">
        <v>251</v>
      </c>
      <c r="F252" s="32" t="s">
        <v>0</v>
      </c>
      <c r="G252" s="42">
        <f>G253+G256</f>
        <v>70591318.723000005</v>
      </c>
      <c r="H252" s="42">
        <f>H253+H256</f>
        <v>178729180.50999999</v>
      </c>
      <c r="I252" s="42">
        <f>I253+I256</f>
        <v>249320499.23299998</v>
      </c>
      <c r="J252" s="42">
        <f>J253+J256</f>
        <v>-12657919.140000001</v>
      </c>
      <c r="K252" s="42">
        <f>K253+K256</f>
        <v>236662580.09300002</v>
      </c>
      <c r="L252" s="33">
        <f t="shared" ref="L252:O252" si="109">L253+L256</f>
        <v>42885704.107000008</v>
      </c>
      <c r="M252" s="42">
        <f>M253+M256</f>
        <v>0</v>
      </c>
      <c r="N252" s="42">
        <f>N253+N256</f>
        <v>42885704.107000008</v>
      </c>
      <c r="O252" s="33">
        <f t="shared" si="109"/>
        <v>49928266.609999999</v>
      </c>
      <c r="P252" s="42">
        <f>P253+P256</f>
        <v>0</v>
      </c>
      <c r="Q252" s="42">
        <f>Q253+Q256</f>
        <v>49928266.609999999</v>
      </c>
    </row>
    <row r="253" spans="1:17" x14ac:dyDescent="0.25">
      <c r="A253" s="30" t="s">
        <v>288</v>
      </c>
      <c r="B253" s="31" t="s">
        <v>397</v>
      </c>
      <c r="C253" s="32" t="s">
        <v>234</v>
      </c>
      <c r="D253" s="32" t="s">
        <v>155</v>
      </c>
      <c r="E253" s="32" t="s">
        <v>289</v>
      </c>
      <c r="F253" s="32" t="s">
        <v>0</v>
      </c>
      <c r="G253" s="42">
        <f t="shared" ref="G253:Q254" si="110">G254</f>
        <v>1125000</v>
      </c>
      <c r="H253" s="42">
        <f t="shared" si="110"/>
        <v>4567811.45</v>
      </c>
      <c r="I253" s="42">
        <f t="shared" si="110"/>
        <v>5692811.4500000002</v>
      </c>
      <c r="J253" s="42">
        <f t="shared" si="110"/>
        <v>0</v>
      </c>
      <c r="K253" s="42">
        <f t="shared" si="110"/>
        <v>5692811.4500000002</v>
      </c>
      <c r="L253" s="33">
        <f t="shared" si="110"/>
        <v>0</v>
      </c>
      <c r="M253" s="42">
        <f t="shared" si="110"/>
        <v>0</v>
      </c>
      <c r="N253" s="42">
        <f t="shared" si="110"/>
        <v>0</v>
      </c>
      <c r="O253" s="33">
        <f t="shared" si="110"/>
        <v>0</v>
      </c>
      <c r="P253" s="42">
        <f t="shared" si="110"/>
        <v>0</v>
      </c>
      <c r="Q253" s="42">
        <f t="shared" si="110"/>
        <v>0</v>
      </c>
    </row>
    <row r="254" spans="1:17" x14ac:dyDescent="0.25">
      <c r="A254" s="34" t="s">
        <v>290</v>
      </c>
      <c r="B254" s="35" t="s">
        <v>397</v>
      </c>
      <c r="C254" s="36" t="s">
        <v>234</v>
      </c>
      <c r="D254" s="36" t="s">
        <v>155</v>
      </c>
      <c r="E254" s="36" t="s">
        <v>289</v>
      </c>
      <c r="F254" s="36" t="s">
        <v>0</v>
      </c>
      <c r="G254" s="43">
        <f t="shared" si="110"/>
        <v>1125000</v>
      </c>
      <c r="H254" s="43">
        <f t="shared" si="110"/>
        <v>4567811.45</v>
      </c>
      <c r="I254" s="43">
        <f t="shared" si="110"/>
        <v>5692811.4500000002</v>
      </c>
      <c r="J254" s="43">
        <f t="shared" si="110"/>
        <v>0</v>
      </c>
      <c r="K254" s="43">
        <f t="shared" si="110"/>
        <v>5692811.4500000002</v>
      </c>
      <c r="L254" s="43">
        <f t="shared" si="110"/>
        <v>0</v>
      </c>
      <c r="M254" s="43">
        <f t="shared" si="110"/>
        <v>0</v>
      </c>
      <c r="N254" s="43">
        <f t="shared" si="110"/>
        <v>0</v>
      </c>
      <c r="O254" s="43">
        <f t="shared" si="110"/>
        <v>0</v>
      </c>
      <c r="P254" s="43">
        <f t="shared" si="110"/>
        <v>0</v>
      </c>
      <c r="Q254" s="43">
        <f t="shared" si="110"/>
        <v>0</v>
      </c>
    </row>
    <row r="255" spans="1:17" ht="30" x14ac:dyDescent="0.25">
      <c r="A255" s="96" t="s">
        <v>153</v>
      </c>
      <c r="B255" s="97" t="s">
        <v>397</v>
      </c>
      <c r="C255" s="98" t="s">
        <v>234</v>
      </c>
      <c r="D255" s="98" t="s">
        <v>155</v>
      </c>
      <c r="E255" s="98" t="s">
        <v>289</v>
      </c>
      <c r="F255" s="98" t="s">
        <v>158</v>
      </c>
      <c r="G255" s="103">
        <v>1125000</v>
      </c>
      <c r="H255" s="103">
        <v>4567811.45</v>
      </c>
      <c r="I255" s="103">
        <f>G255+H255</f>
        <v>5692811.4500000002</v>
      </c>
      <c r="J255" s="103">
        <v>0</v>
      </c>
      <c r="K255" s="103">
        <f>I255+J255</f>
        <v>5692811.4500000002</v>
      </c>
      <c r="L255" s="103">
        <v>0</v>
      </c>
      <c r="M255" s="103">
        <v>0</v>
      </c>
      <c r="N255" s="103">
        <f>L255+M255</f>
        <v>0</v>
      </c>
      <c r="O255" s="103">
        <v>0</v>
      </c>
      <c r="P255" s="103">
        <v>0</v>
      </c>
      <c r="Q255" s="103">
        <f>O255+P255</f>
        <v>0</v>
      </c>
    </row>
    <row r="256" spans="1:17" ht="12.6" customHeight="1" x14ac:dyDescent="0.25">
      <c r="A256" s="30" t="s">
        <v>165</v>
      </c>
      <c r="B256" s="31" t="s">
        <v>397</v>
      </c>
      <c r="C256" s="32" t="s">
        <v>234</v>
      </c>
      <c r="D256" s="32" t="s">
        <v>155</v>
      </c>
      <c r="E256" s="32" t="s">
        <v>252</v>
      </c>
      <c r="F256" s="32"/>
      <c r="G256" s="42">
        <f>G257+G259+G261+G264+G266+G271+G278</f>
        <v>69466318.723000005</v>
      </c>
      <c r="H256" s="42">
        <f>H257+H259+H261+H264+H266+H271+H278+H276+H274</f>
        <v>174161369.06</v>
      </c>
      <c r="I256" s="42">
        <f t="shared" ref="I256:O256" si="111">I257+I259+I261+I264+I266+I271+I278+I276+I274</f>
        <v>243627687.78299999</v>
      </c>
      <c r="J256" s="42">
        <f>J257+J259+J261+J264+J266+J271+J278+J276+J274</f>
        <v>-12657919.140000001</v>
      </c>
      <c r="K256" s="42">
        <f t="shared" ref="K256" si="112">K257+K259+K261+K264+K266+K271+K278+K276+K274</f>
        <v>230969768.64300004</v>
      </c>
      <c r="L256" s="42">
        <f t="shared" si="111"/>
        <v>42885704.107000008</v>
      </c>
      <c r="M256" s="42">
        <f>M257+M259+M261+M264+M266+M271+M278+M276+M274</f>
        <v>0</v>
      </c>
      <c r="N256" s="42">
        <f t="shared" ref="N256" si="113">N257+N259+N261+N264+N266+N271+N278+N276+N274</f>
        <v>42885704.107000008</v>
      </c>
      <c r="O256" s="42">
        <f t="shared" si="111"/>
        <v>49928266.609999999</v>
      </c>
      <c r="P256" s="42">
        <f>P257+P259+P261+P264+P266+P271+P278+P276+P274</f>
        <v>0</v>
      </c>
      <c r="Q256" s="42">
        <f t="shared" ref="Q256" si="114">Q257+Q259+Q261+Q264+Q266+Q271+Q278+Q276+Q274</f>
        <v>49928266.609999999</v>
      </c>
    </row>
    <row r="257" spans="1:17" x14ac:dyDescent="0.25">
      <c r="A257" s="34" t="s">
        <v>291</v>
      </c>
      <c r="B257" s="35" t="s">
        <v>397</v>
      </c>
      <c r="C257" s="36" t="s">
        <v>234</v>
      </c>
      <c r="D257" s="36" t="s">
        <v>155</v>
      </c>
      <c r="E257" s="36" t="s">
        <v>292</v>
      </c>
      <c r="F257" s="36"/>
      <c r="G257" s="43">
        <f>G258</f>
        <v>14372435.892999999</v>
      </c>
      <c r="H257" s="43">
        <f>H258</f>
        <v>389811.13</v>
      </c>
      <c r="I257" s="43">
        <f>I258</f>
        <v>14762247.023</v>
      </c>
      <c r="J257" s="43">
        <f>J258</f>
        <v>0</v>
      </c>
      <c r="K257" s="43">
        <f>K258</f>
        <v>14762247.023</v>
      </c>
      <c r="L257" s="43">
        <f t="shared" ref="L257:O257" si="115">L258</f>
        <v>13274985.487</v>
      </c>
      <c r="M257" s="43">
        <f>M258</f>
        <v>0</v>
      </c>
      <c r="N257" s="43">
        <f>N258</f>
        <v>13274985.487</v>
      </c>
      <c r="O257" s="43">
        <f t="shared" si="115"/>
        <v>13479543.75</v>
      </c>
      <c r="P257" s="43">
        <f>P258</f>
        <v>0</v>
      </c>
      <c r="Q257" s="43">
        <f>Q258</f>
        <v>13479543.75</v>
      </c>
    </row>
    <row r="258" spans="1:17" ht="30" x14ac:dyDescent="0.25">
      <c r="A258" s="96" t="s">
        <v>153</v>
      </c>
      <c r="B258" s="97" t="s">
        <v>397</v>
      </c>
      <c r="C258" s="98" t="s">
        <v>234</v>
      </c>
      <c r="D258" s="98" t="s">
        <v>155</v>
      </c>
      <c r="E258" s="98" t="s">
        <v>292</v>
      </c>
      <c r="F258" s="98">
        <v>200</v>
      </c>
      <c r="G258" s="103">
        <v>14372435.892999999</v>
      </c>
      <c r="H258" s="103">
        <v>389811.13</v>
      </c>
      <c r="I258" s="103">
        <f>G258+H258</f>
        <v>14762247.023</v>
      </c>
      <c r="J258" s="103">
        <v>0</v>
      </c>
      <c r="K258" s="103">
        <f>I258+J258</f>
        <v>14762247.023</v>
      </c>
      <c r="L258" s="103">
        <v>13274985.487</v>
      </c>
      <c r="M258" s="103">
        <v>0</v>
      </c>
      <c r="N258" s="103">
        <f>L258+M258</f>
        <v>13274985.487</v>
      </c>
      <c r="O258" s="103">
        <v>13479543.75</v>
      </c>
      <c r="P258" s="103">
        <v>0</v>
      </c>
      <c r="Q258" s="103">
        <f>O258+P258</f>
        <v>13479543.75</v>
      </c>
    </row>
    <row r="259" spans="1:17" x14ac:dyDescent="0.25">
      <c r="A259" s="34" t="s">
        <v>293</v>
      </c>
      <c r="B259" s="35" t="s">
        <v>397</v>
      </c>
      <c r="C259" s="36" t="s">
        <v>234</v>
      </c>
      <c r="D259" s="36" t="s">
        <v>155</v>
      </c>
      <c r="E259" s="36" t="s">
        <v>294</v>
      </c>
      <c r="F259" s="36" t="s">
        <v>0</v>
      </c>
      <c r="G259" s="43">
        <f>G260</f>
        <v>4000000</v>
      </c>
      <c r="H259" s="43">
        <f>H260</f>
        <v>9009000</v>
      </c>
      <c r="I259" s="43">
        <f>I260</f>
        <v>13009000</v>
      </c>
      <c r="J259" s="43">
        <f>J260</f>
        <v>812903</v>
      </c>
      <c r="K259" s="43">
        <f>K260</f>
        <v>13821903</v>
      </c>
      <c r="L259" s="37">
        <f t="shared" ref="L259:O259" si="116">L260</f>
        <v>0</v>
      </c>
      <c r="M259" s="43">
        <f>M260</f>
        <v>0</v>
      </c>
      <c r="N259" s="43">
        <f>N260</f>
        <v>0</v>
      </c>
      <c r="O259" s="37">
        <f t="shared" si="116"/>
        <v>2678000</v>
      </c>
      <c r="P259" s="43">
        <f>P260</f>
        <v>0</v>
      </c>
      <c r="Q259" s="43">
        <f>Q260</f>
        <v>2678000</v>
      </c>
    </row>
    <row r="260" spans="1:17" ht="30" x14ac:dyDescent="0.25">
      <c r="A260" s="96" t="s">
        <v>153</v>
      </c>
      <c r="B260" s="97" t="s">
        <v>397</v>
      </c>
      <c r="C260" s="98" t="s">
        <v>234</v>
      </c>
      <c r="D260" s="98" t="s">
        <v>155</v>
      </c>
      <c r="E260" s="98" t="s">
        <v>294</v>
      </c>
      <c r="F260" s="98" t="s">
        <v>158</v>
      </c>
      <c r="G260" s="103">
        <v>4000000</v>
      </c>
      <c r="H260" s="103">
        <v>9009000</v>
      </c>
      <c r="I260" s="103">
        <f>G260+H260</f>
        <v>13009000</v>
      </c>
      <c r="J260" s="103">
        <f>'По разделам 4'!I166</f>
        <v>812903</v>
      </c>
      <c r="K260" s="103">
        <f>I260+J260</f>
        <v>13821903</v>
      </c>
      <c r="L260" s="103">
        <v>0</v>
      </c>
      <c r="M260" s="103">
        <v>0</v>
      </c>
      <c r="N260" s="103">
        <f>L260+M260</f>
        <v>0</v>
      </c>
      <c r="O260" s="103">
        <v>2678000</v>
      </c>
      <c r="P260" s="103">
        <v>0</v>
      </c>
      <c r="Q260" s="103">
        <f>O260+P260</f>
        <v>2678000</v>
      </c>
    </row>
    <row r="261" spans="1:17" ht="13.5" customHeight="1" x14ac:dyDescent="0.25">
      <c r="A261" s="34" t="s">
        <v>295</v>
      </c>
      <c r="B261" s="35" t="s">
        <v>397</v>
      </c>
      <c r="C261" s="36" t="s">
        <v>234</v>
      </c>
      <c r="D261" s="36" t="s">
        <v>155</v>
      </c>
      <c r="E261" s="36" t="s">
        <v>296</v>
      </c>
      <c r="F261" s="36" t="s">
        <v>0</v>
      </c>
      <c r="G261" s="43">
        <f>G263+G262</f>
        <v>5160135.26</v>
      </c>
      <c r="H261" s="43">
        <f>H263+H262</f>
        <v>1394593</v>
      </c>
      <c r="I261" s="43">
        <f>I263+I262</f>
        <v>6554728.2599999998</v>
      </c>
      <c r="J261" s="43">
        <f>J263+J262</f>
        <v>0</v>
      </c>
      <c r="K261" s="43">
        <f>K263+K262</f>
        <v>6554728.2599999998</v>
      </c>
      <c r="L261" s="43">
        <f t="shared" ref="L261:O261" si="117">L263+L262</f>
        <v>5376860.9399999995</v>
      </c>
      <c r="M261" s="43">
        <f>M263+M262</f>
        <v>0</v>
      </c>
      <c r="N261" s="43">
        <f>N263+N262</f>
        <v>5376860.9399999995</v>
      </c>
      <c r="O261" s="43">
        <f t="shared" si="117"/>
        <v>5376860.9399999995</v>
      </c>
      <c r="P261" s="43">
        <f>P263+P262</f>
        <v>0</v>
      </c>
      <c r="Q261" s="43">
        <f>Q263+Q262</f>
        <v>5376860.9399999995</v>
      </c>
    </row>
    <row r="262" spans="1:17" ht="14.25" hidden="1" customHeight="1" x14ac:dyDescent="0.25">
      <c r="A262" s="96" t="s">
        <v>387</v>
      </c>
      <c r="B262" s="97" t="s">
        <v>397</v>
      </c>
      <c r="C262" s="98" t="s">
        <v>234</v>
      </c>
      <c r="D262" s="98" t="s">
        <v>155</v>
      </c>
      <c r="E262" s="98" t="s">
        <v>296</v>
      </c>
      <c r="F262" s="98" t="s">
        <v>158</v>
      </c>
      <c r="G262" s="51">
        <v>0</v>
      </c>
      <c r="H262" s="51">
        <v>0</v>
      </c>
      <c r="I262" s="103">
        <f>G262+H262</f>
        <v>0</v>
      </c>
      <c r="J262" s="51">
        <v>0</v>
      </c>
      <c r="K262" s="103">
        <f>I262+J262</f>
        <v>0</v>
      </c>
      <c r="L262" s="51">
        <v>0</v>
      </c>
      <c r="M262" s="51">
        <v>0</v>
      </c>
      <c r="N262" s="103">
        <f>L262+M262</f>
        <v>0</v>
      </c>
      <c r="O262" s="51">
        <v>0</v>
      </c>
      <c r="P262" s="51">
        <v>0</v>
      </c>
      <c r="Q262" s="103">
        <f>O262+P262</f>
        <v>0</v>
      </c>
    </row>
    <row r="263" spans="1:17" x14ac:dyDescent="0.25">
      <c r="A263" s="96" t="s">
        <v>297</v>
      </c>
      <c r="B263" s="97" t="s">
        <v>397</v>
      </c>
      <c r="C263" s="98" t="s">
        <v>234</v>
      </c>
      <c r="D263" s="98" t="s">
        <v>155</v>
      </c>
      <c r="E263" s="98" t="s">
        <v>296</v>
      </c>
      <c r="F263" s="98" t="s">
        <v>298</v>
      </c>
      <c r="G263" s="103">
        <v>5160135.26</v>
      </c>
      <c r="H263" s="44">
        <v>1394593</v>
      </c>
      <c r="I263" s="103">
        <f>G263+H263</f>
        <v>6554728.2599999998</v>
      </c>
      <c r="J263" s="44">
        <v>0</v>
      </c>
      <c r="K263" s="103">
        <f>I263+J263</f>
        <v>6554728.2599999998</v>
      </c>
      <c r="L263" s="103">
        <v>5376860.9399999995</v>
      </c>
      <c r="M263" s="44">
        <v>0</v>
      </c>
      <c r="N263" s="103">
        <f>L263+M263</f>
        <v>5376860.9399999995</v>
      </c>
      <c r="O263" s="103">
        <v>5376860.9399999995</v>
      </c>
      <c r="P263" s="44">
        <v>0</v>
      </c>
      <c r="Q263" s="103">
        <f>O263+P263</f>
        <v>5376860.9399999995</v>
      </c>
    </row>
    <row r="264" spans="1:17" x14ac:dyDescent="0.25">
      <c r="A264" s="34" t="s">
        <v>299</v>
      </c>
      <c r="B264" s="35" t="s">
        <v>397</v>
      </c>
      <c r="C264" s="36" t="s">
        <v>234</v>
      </c>
      <c r="D264" s="36" t="s">
        <v>155</v>
      </c>
      <c r="E264" s="36" t="s">
        <v>300</v>
      </c>
      <c r="F264" s="36" t="s">
        <v>0</v>
      </c>
      <c r="G264" s="43">
        <f>G265</f>
        <v>19092615.09</v>
      </c>
      <c r="H264" s="43">
        <f>H265</f>
        <v>1466294.73</v>
      </c>
      <c r="I264" s="43">
        <f>I265</f>
        <v>20558909.82</v>
      </c>
      <c r="J264" s="43">
        <f>J265</f>
        <v>0</v>
      </c>
      <c r="K264" s="43">
        <f>K265</f>
        <v>20558909.82</v>
      </c>
      <c r="L264" s="43">
        <f t="shared" ref="L264:O264" si="118">L265</f>
        <v>19092615.09</v>
      </c>
      <c r="M264" s="43">
        <f>M265</f>
        <v>0</v>
      </c>
      <c r="N264" s="43">
        <f>N265</f>
        <v>19092615.09</v>
      </c>
      <c r="O264" s="43">
        <f t="shared" si="118"/>
        <v>19287666.829999998</v>
      </c>
      <c r="P264" s="43">
        <f>P265</f>
        <v>0</v>
      </c>
      <c r="Q264" s="43">
        <f>Q265</f>
        <v>19287666.829999998</v>
      </c>
    </row>
    <row r="265" spans="1:17" ht="30" x14ac:dyDescent="0.25">
      <c r="A265" s="96" t="s">
        <v>153</v>
      </c>
      <c r="B265" s="97" t="s">
        <v>397</v>
      </c>
      <c r="C265" s="98" t="s">
        <v>234</v>
      </c>
      <c r="D265" s="98" t="s">
        <v>155</v>
      </c>
      <c r="E265" s="98" t="s">
        <v>300</v>
      </c>
      <c r="F265" s="98" t="s">
        <v>158</v>
      </c>
      <c r="G265" s="103">
        <v>19092615.09</v>
      </c>
      <c r="H265" s="103">
        <f>905000+561294.73</f>
        <v>1466294.73</v>
      </c>
      <c r="I265" s="103">
        <f>G265+H265</f>
        <v>20558909.82</v>
      </c>
      <c r="J265" s="103">
        <v>0</v>
      </c>
      <c r="K265" s="103">
        <f>I265+J265</f>
        <v>20558909.82</v>
      </c>
      <c r="L265" s="103">
        <v>19092615.09</v>
      </c>
      <c r="M265" s="103">
        <v>0</v>
      </c>
      <c r="N265" s="103">
        <f>L265+M265</f>
        <v>19092615.09</v>
      </c>
      <c r="O265" s="103">
        <v>19287666.829999998</v>
      </c>
      <c r="P265" s="103">
        <v>0</v>
      </c>
      <c r="Q265" s="103">
        <f>O265+P265</f>
        <v>19287666.829999998</v>
      </c>
    </row>
    <row r="266" spans="1:17" ht="13.5" customHeight="1" x14ac:dyDescent="0.25">
      <c r="A266" s="48" t="s">
        <v>301</v>
      </c>
      <c r="B266" s="35" t="s">
        <v>397</v>
      </c>
      <c r="C266" s="36" t="s">
        <v>234</v>
      </c>
      <c r="D266" s="36" t="s">
        <v>155</v>
      </c>
      <c r="E266" s="36" t="s">
        <v>302</v>
      </c>
      <c r="F266" s="36" t="s">
        <v>0</v>
      </c>
      <c r="G266" s="43">
        <f>G267+G268+G269+G270</f>
        <v>20942536.330000002</v>
      </c>
      <c r="H266" s="43">
        <f>H267+H268+H269+H270</f>
        <v>73234391.010000005</v>
      </c>
      <c r="I266" s="43">
        <f t="shared" ref="I266:O266" si="119">I267+I268+I269+I270</f>
        <v>94176927.340000018</v>
      </c>
      <c r="J266" s="43">
        <f>J267+J268+J269+J270</f>
        <v>-1700000</v>
      </c>
      <c r="K266" s="43">
        <f t="shared" ref="K266" si="120">K267+K268+K269+K270</f>
        <v>92476927.340000004</v>
      </c>
      <c r="L266" s="43">
        <f t="shared" si="119"/>
        <v>3641242.59</v>
      </c>
      <c r="M266" s="43">
        <f>M267+M268+M269+M270</f>
        <v>0</v>
      </c>
      <c r="N266" s="43">
        <f t="shared" ref="N266" si="121">N267+N268+N269+N270</f>
        <v>3641242.59</v>
      </c>
      <c r="O266" s="43">
        <f t="shared" si="119"/>
        <v>7606195.0899999999</v>
      </c>
      <c r="P266" s="43">
        <f>P267+P268+P269+P270</f>
        <v>0</v>
      </c>
      <c r="Q266" s="43">
        <f t="shared" ref="Q266" si="122">Q267+Q268+Q269+Q270</f>
        <v>7606195.0899999999</v>
      </c>
    </row>
    <row r="267" spans="1:17" ht="30" x14ac:dyDescent="0.25">
      <c r="A267" s="96" t="s">
        <v>153</v>
      </c>
      <c r="B267" s="97" t="s">
        <v>397</v>
      </c>
      <c r="C267" s="98" t="s">
        <v>234</v>
      </c>
      <c r="D267" s="98" t="s">
        <v>155</v>
      </c>
      <c r="E267" s="98" t="s">
        <v>302</v>
      </c>
      <c r="F267" s="98" t="s">
        <v>158</v>
      </c>
      <c r="G267" s="103">
        <v>16586261.779999999</v>
      </c>
      <c r="H267" s="44">
        <v>70142748.260000005</v>
      </c>
      <c r="I267" s="103">
        <f>G267+H267</f>
        <v>86729010.040000007</v>
      </c>
      <c r="J267" s="103">
        <f>'По разделам 4'!I173</f>
        <v>1391642.7499999998</v>
      </c>
      <c r="K267" s="103">
        <f>I267+J267</f>
        <v>88120652.790000007</v>
      </c>
      <c r="L267" s="103">
        <v>3641242.59</v>
      </c>
      <c r="M267" s="44">
        <v>0</v>
      </c>
      <c r="N267" s="103">
        <f>L267+M267</f>
        <v>3641242.59</v>
      </c>
      <c r="O267" s="103">
        <v>7056195.0899999999</v>
      </c>
      <c r="P267" s="44">
        <v>0</v>
      </c>
      <c r="Q267" s="103">
        <f>O267+P267</f>
        <v>7056195.0899999999</v>
      </c>
    </row>
    <row r="268" spans="1:17" x14ac:dyDescent="0.25">
      <c r="A268" s="96" t="s">
        <v>209</v>
      </c>
      <c r="B268" s="97" t="s">
        <v>397</v>
      </c>
      <c r="C268" s="98" t="s">
        <v>234</v>
      </c>
      <c r="D268" s="98" t="s">
        <v>155</v>
      </c>
      <c r="E268" s="98" t="s">
        <v>302</v>
      </c>
      <c r="F268" s="98" t="s">
        <v>210</v>
      </c>
      <c r="G268" s="103">
        <v>550000</v>
      </c>
      <c r="H268" s="103">
        <v>0</v>
      </c>
      <c r="I268" s="103">
        <f>G268+H268</f>
        <v>550000</v>
      </c>
      <c r="J268" s="103">
        <f>'По разделам 4'!I174</f>
        <v>0</v>
      </c>
      <c r="K268" s="103">
        <f>I268+J268</f>
        <v>550000</v>
      </c>
      <c r="L268" s="103">
        <v>0</v>
      </c>
      <c r="M268" s="103">
        <v>0</v>
      </c>
      <c r="N268" s="103">
        <f>L268+M268</f>
        <v>0</v>
      </c>
      <c r="O268" s="103">
        <v>550000</v>
      </c>
      <c r="P268" s="103">
        <v>0</v>
      </c>
      <c r="Q268" s="103">
        <f>O268+P268</f>
        <v>550000</v>
      </c>
    </row>
    <row r="269" spans="1:17" ht="15" customHeight="1" x14ac:dyDescent="0.25">
      <c r="A269" s="96" t="s">
        <v>169</v>
      </c>
      <c r="B269" s="97" t="s">
        <v>397</v>
      </c>
      <c r="C269" s="98" t="s">
        <v>234</v>
      </c>
      <c r="D269" s="98" t="s">
        <v>155</v>
      </c>
      <c r="E269" s="98" t="s">
        <v>302</v>
      </c>
      <c r="F269" s="98" t="s">
        <v>171</v>
      </c>
      <c r="G269" s="103">
        <v>3806274.55</v>
      </c>
      <c r="H269" s="44">
        <v>556363.1</v>
      </c>
      <c r="I269" s="103">
        <f>G269+H269</f>
        <v>4362637.6499999994</v>
      </c>
      <c r="J269" s="103">
        <f>'По разделам 4'!I175</f>
        <v>-556363.1</v>
      </c>
      <c r="K269" s="103">
        <f>I269+J269</f>
        <v>3806274.5499999993</v>
      </c>
      <c r="L269" s="103">
        <v>0</v>
      </c>
      <c r="M269" s="44">
        <v>0</v>
      </c>
      <c r="N269" s="103">
        <f>L269+M269</f>
        <v>0</v>
      </c>
      <c r="O269" s="103">
        <v>0</v>
      </c>
      <c r="P269" s="44">
        <v>0</v>
      </c>
      <c r="Q269" s="103">
        <f>O269+P269</f>
        <v>0</v>
      </c>
    </row>
    <row r="270" spans="1:17" ht="15" customHeight="1" x14ac:dyDescent="0.25">
      <c r="A270" s="96" t="s">
        <v>297</v>
      </c>
      <c r="B270" s="97" t="s">
        <v>397</v>
      </c>
      <c r="C270" s="98" t="s">
        <v>234</v>
      </c>
      <c r="D270" s="98" t="s">
        <v>155</v>
      </c>
      <c r="E270" s="98" t="s">
        <v>302</v>
      </c>
      <c r="F270" s="98">
        <v>600</v>
      </c>
      <c r="G270" s="103">
        <v>0</v>
      </c>
      <c r="H270" s="44">
        <v>2535279.65</v>
      </c>
      <c r="I270" s="103">
        <f>G270+H270</f>
        <v>2535279.65</v>
      </c>
      <c r="J270" s="103">
        <f>'По разделам 4'!I176</f>
        <v>-2535279.65</v>
      </c>
      <c r="K270" s="103">
        <f>I270+J270</f>
        <v>0</v>
      </c>
      <c r="L270" s="103">
        <v>0</v>
      </c>
      <c r="M270" s="44">
        <v>0</v>
      </c>
      <c r="N270" s="103">
        <f>L270+M270</f>
        <v>0</v>
      </c>
      <c r="O270" s="103">
        <v>0</v>
      </c>
      <c r="P270" s="44">
        <v>0</v>
      </c>
      <c r="Q270" s="103">
        <f>O270+P270</f>
        <v>0</v>
      </c>
    </row>
    <row r="271" spans="1:17" ht="27" x14ac:dyDescent="0.25">
      <c r="A271" s="34" t="s">
        <v>303</v>
      </c>
      <c r="B271" s="35" t="s">
        <v>397</v>
      </c>
      <c r="C271" s="36" t="s">
        <v>234</v>
      </c>
      <c r="D271" s="36" t="s">
        <v>155</v>
      </c>
      <c r="E271" s="36" t="s">
        <v>304</v>
      </c>
      <c r="F271" s="36"/>
      <c r="G271" s="43">
        <f>G272+G273</f>
        <v>4164847</v>
      </c>
      <c r="H271" s="43">
        <f t="shared" ref="H271:Q271" si="123">H272+H273</f>
        <v>61436771.579999998</v>
      </c>
      <c r="I271" s="43">
        <f t="shared" si="123"/>
        <v>65601618.579999998</v>
      </c>
      <c r="J271" s="43">
        <f t="shared" ref="J271:K271" si="124">J272+J273</f>
        <v>1527930.4000000004</v>
      </c>
      <c r="K271" s="43">
        <f t="shared" si="124"/>
        <v>67129548.980000004</v>
      </c>
      <c r="L271" s="43">
        <f t="shared" si="123"/>
        <v>0</v>
      </c>
      <c r="M271" s="43">
        <f t="shared" si="123"/>
        <v>0</v>
      </c>
      <c r="N271" s="43">
        <f t="shared" si="123"/>
        <v>0</v>
      </c>
      <c r="O271" s="43">
        <f t="shared" si="123"/>
        <v>0</v>
      </c>
      <c r="P271" s="43">
        <f t="shared" si="123"/>
        <v>0</v>
      </c>
      <c r="Q271" s="43">
        <f t="shared" si="123"/>
        <v>0</v>
      </c>
    </row>
    <row r="272" spans="1:17" ht="26.25" customHeight="1" x14ac:dyDescent="0.25">
      <c r="A272" s="96" t="s">
        <v>153</v>
      </c>
      <c r="B272" s="97" t="s">
        <v>397</v>
      </c>
      <c r="C272" s="98" t="s">
        <v>234</v>
      </c>
      <c r="D272" s="98" t="s">
        <v>155</v>
      </c>
      <c r="E272" s="98" t="s">
        <v>304</v>
      </c>
      <c r="F272" s="98">
        <v>200</v>
      </c>
      <c r="G272" s="103">
        <v>4164847</v>
      </c>
      <c r="H272" s="44">
        <f>1899504+28000000</f>
        <v>29899504</v>
      </c>
      <c r="I272" s="103">
        <f>G272+H272</f>
        <v>34064351</v>
      </c>
      <c r="J272" s="103">
        <f>'По разделам 4'!I178</f>
        <v>12000000</v>
      </c>
      <c r="K272" s="103">
        <f>I272+J272</f>
        <v>46064351</v>
      </c>
      <c r="L272" s="103">
        <v>0</v>
      </c>
      <c r="M272" s="44">
        <v>0</v>
      </c>
      <c r="N272" s="103">
        <f>L272+M272</f>
        <v>0</v>
      </c>
      <c r="O272" s="103">
        <v>0</v>
      </c>
      <c r="P272" s="44">
        <v>0</v>
      </c>
      <c r="Q272" s="103">
        <f>O272+P272</f>
        <v>0</v>
      </c>
    </row>
    <row r="273" spans="1:17" ht="15" customHeight="1" x14ac:dyDescent="0.25">
      <c r="A273" s="96" t="s">
        <v>169</v>
      </c>
      <c r="B273" s="97" t="s">
        <v>397</v>
      </c>
      <c r="C273" s="98" t="s">
        <v>234</v>
      </c>
      <c r="D273" s="98" t="s">
        <v>155</v>
      </c>
      <c r="E273" s="98" t="s">
        <v>304</v>
      </c>
      <c r="F273" s="98">
        <v>400</v>
      </c>
      <c r="G273" s="103">
        <v>0</v>
      </c>
      <c r="H273" s="44">
        <v>31537267.580000002</v>
      </c>
      <c r="I273" s="103">
        <f>G273+H273</f>
        <v>31537267.580000002</v>
      </c>
      <c r="J273" s="103">
        <f>'По разделам 4'!I179</f>
        <v>-10472069.6</v>
      </c>
      <c r="K273" s="103">
        <f>I273+J273</f>
        <v>21065197.980000004</v>
      </c>
      <c r="L273" s="103">
        <v>0</v>
      </c>
      <c r="M273" s="44">
        <v>0</v>
      </c>
      <c r="N273" s="103">
        <f>L273+M273</f>
        <v>0</v>
      </c>
      <c r="O273" s="103">
        <v>0</v>
      </c>
      <c r="P273" s="44">
        <v>0</v>
      </c>
      <c r="Q273" s="103">
        <f>O273+P273</f>
        <v>0</v>
      </c>
    </row>
    <row r="274" spans="1:17" ht="37.5" customHeight="1" x14ac:dyDescent="0.25">
      <c r="A274" s="34" t="s">
        <v>306</v>
      </c>
      <c r="B274" s="35">
        <v>801</v>
      </c>
      <c r="C274" s="36" t="s">
        <v>234</v>
      </c>
      <c r="D274" s="36" t="s">
        <v>155</v>
      </c>
      <c r="E274" s="36" t="s">
        <v>307</v>
      </c>
      <c r="F274" s="36"/>
      <c r="G274" s="43">
        <f>G275</f>
        <v>0</v>
      </c>
      <c r="H274" s="43">
        <f t="shared" ref="H274:Q274" si="125">H275</f>
        <v>6000000</v>
      </c>
      <c r="I274" s="43">
        <f t="shared" si="125"/>
        <v>6000000</v>
      </c>
      <c r="J274" s="43">
        <f t="shared" si="125"/>
        <v>701247.46</v>
      </c>
      <c r="K274" s="43">
        <f t="shared" si="125"/>
        <v>6701247.46</v>
      </c>
      <c r="L274" s="43">
        <f t="shared" si="125"/>
        <v>0</v>
      </c>
      <c r="M274" s="43">
        <f t="shared" si="125"/>
        <v>0</v>
      </c>
      <c r="N274" s="43">
        <f t="shared" si="125"/>
        <v>0</v>
      </c>
      <c r="O274" s="43">
        <f t="shared" si="125"/>
        <v>0</v>
      </c>
      <c r="P274" s="43">
        <f t="shared" si="125"/>
        <v>0</v>
      </c>
      <c r="Q274" s="43">
        <f t="shared" si="125"/>
        <v>0</v>
      </c>
    </row>
    <row r="275" spans="1:17" ht="24.75" customHeight="1" x14ac:dyDescent="0.25">
      <c r="A275" s="96" t="s">
        <v>153</v>
      </c>
      <c r="B275" s="97" t="s">
        <v>397</v>
      </c>
      <c r="C275" s="98" t="s">
        <v>234</v>
      </c>
      <c r="D275" s="98" t="s">
        <v>155</v>
      </c>
      <c r="E275" s="50" t="s">
        <v>307</v>
      </c>
      <c r="F275" s="98">
        <v>200</v>
      </c>
      <c r="G275" s="103">
        <v>0</v>
      </c>
      <c r="H275" s="44">
        <v>6000000</v>
      </c>
      <c r="I275" s="103">
        <f>G275+H275</f>
        <v>6000000</v>
      </c>
      <c r="J275" s="103">
        <f>'По разделам 4'!I181</f>
        <v>701247.46</v>
      </c>
      <c r="K275" s="103">
        <f>I275+J275</f>
        <v>6701247.46</v>
      </c>
      <c r="L275" s="103">
        <v>0</v>
      </c>
      <c r="M275" s="44">
        <v>0</v>
      </c>
      <c r="N275" s="103">
        <f>L275+M275</f>
        <v>0</v>
      </c>
      <c r="O275" s="103">
        <v>0</v>
      </c>
      <c r="P275" s="44">
        <v>0</v>
      </c>
      <c r="Q275" s="103">
        <f>O275+P275</f>
        <v>0</v>
      </c>
    </row>
    <row r="276" spans="1:17" ht="54.75" customHeight="1" x14ac:dyDescent="0.25">
      <c r="A276" s="34" t="s">
        <v>308</v>
      </c>
      <c r="B276" s="35" t="s">
        <v>397</v>
      </c>
      <c r="C276" s="36" t="s">
        <v>234</v>
      </c>
      <c r="D276" s="36" t="s">
        <v>155</v>
      </c>
      <c r="E276" s="36" t="s">
        <v>309</v>
      </c>
      <c r="F276" s="36"/>
      <c r="G276" s="43">
        <f>G277</f>
        <v>0</v>
      </c>
      <c r="H276" s="43">
        <f t="shared" ref="H276:Q276" si="126">H277</f>
        <v>21000000</v>
      </c>
      <c r="I276" s="43">
        <f t="shared" si="126"/>
        <v>21000000</v>
      </c>
      <c r="J276" s="43">
        <f t="shared" si="126"/>
        <v>-14000000</v>
      </c>
      <c r="K276" s="43">
        <f t="shared" si="126"/>
        <v>7000000</v>
      </c>
      <c r="L276" s="43">
        <f t="shared" si="126"/>
        <v>0</v>
      </c>
      <c r="M276" s="43">
        <f t="shared" si="126"/>
        <v>0</v>
      </c>
      <c r="N276" s="43">
        <f t="shared" si="126"/>
        <v>0</v>
      </c>
      <c r="O276" s="43">
        <f t="shared" si="126"/>
        <v>0</v>
      </c>
      <c r="P276" s="43">
        <f t="shared" si="126"/>
        <v>0</v>
      </c>
      <c r="Q276" s="43">
        <f t="shared" si="126"/>
        <v>0</v>
      </c>
    </row>
    <row r="277" spans="1:17" ht="21.75" customHeight="1" x14ac:dyDescent="0.25">
      <c r="A277" s="96" t="s">
        <v>153</v>
      </c>
      <c r="B277" s="97" t="s">
        <v>397</v>
      </c>
      <c r="C277" s="98" t="s">
        <v>234</v>
      </c>
      <c r="D277" s="98" t="s">
        <v>155</v>
      </c>
      <c r="E277" s="98" t="s">
        <v>309</v>
      </c>
      <c r="F277" s="98">
        <v>200</v>
      </c>
      <c r="G277" s="103">
        <v>0</v>
      </c>
      <c r="H277" s="44">
        <v>21000000</v>
      </c>
      <c r="I277" s="103">
        <f>G277+H277</f>
        <v>21000000</v>
      </c>
      <c r="J277" s="103">
        <f>'По разделам 4'!I183</f>
        <v>-14000000</v>
      </c>
      <c r="K277" s="103">
        <f>I277+J277</f>
        <v>7000000</v>
      </c>
      <c r="L277" s="103">
        <v>0</v>
      </c>
      <c r="M277" s="44">
        <v>0</v>
      </c>
      <c r="N277" s="103">
        <f>L277+M277</f>
        <v>0</v>
      </c>
      <c r="O277" s="103">
        <v>0</v>
      </c>
      <c r="P277" s="44">
        <v>0</v>
      </c>
      <c r="Q277" s="103">
        <f>O277+P277</f>
        <v>0</v>
      </c>
    </row>
    <row r="278" spans="1:17" ht="39.75" customHeight="1" x14ac:dyDescent="0.25">
      <c r="A278" s="34" t="s">
        <v>310</v>
      </c>
      <c r="B278" s="35" t="s">
        <v>397</v>
      </c>
      <c r="C278" s="36" t="s">
        <v>234</v>
      </c>
      <c r="D278" s="36" t="s">
        <v>155</v>
      </c>
      <c r="E278" s="36" t="s">
        <v>311</v>
      </c>
      <c r="F278" s="98"/>
      <c r="G278" s="43">
        <f>G279</f>
        <v>1733749.15</v>
      </c>
      <c r="H278" s="43">
        <f>H279</f>
        <v>230507.61</v>
      </c>
      <c r="I278" s="43">
        <f>I279</f>
        <v>1964256.7599999998</v>
      </c>
      <c r="J278" s="43">
        <f>J279</f>
        <v>0</v>
      </c>
      <c r="K278" s="43">
        <f>K279</f>
        <v>1964256.7599999998</v>
      </c>
      <c r="L278" s="43">
        <f t="shared" ref="L278:O278" si="127">L279</f>
        <v>1500000</v>
      </c>
      <c r="M278" s="43">
        <f>M279</f>
        <v>0</v>
      </c>
      <c r="N278" s="43">
        <f>N279</f>
        <v>1500000</v>
      </c>
      <c r="O278" s="43">
        <f t="shared" si="127"/>
        <v>1500000</v>
      </c>
      <c r="P278" s="43">
        <f>P279</f>
        <v>0</v>
      </c>
      <c r="Q278" s="43">
        <f>Q279</f>
        <v>1500000</v>
      </c>
    </row>
    <row r="279" spans="1:17" ht="15" customHeight="1" x14ac:dyDescent="0.25">
      <c r="A279" s="96" t="s">
        <v>153</v>
      </c>
      <c r="B279" s="97" t="s">
        <v>397</v>
      </c>
      <c r="C279" s="98" t="s">
        <v>234</v>
      </c>
      <c r="D279" s="98" t="s">
        <v>155</v>
      </c>
      <c r="E279" s="98" t="s">
        <v>311</v>
      </c>
      <c r="F279" s="98">
        <v>200</v>
      </c>
      <c r="G279" s="103">
        <v>1733749.15</v>
      </c>
      <c r="H279" s="44">
        <f>30997.61+199510</f>
        <v>230507.61</v>
      </c>
      <c r="I279" s="103">
        <f>G279+H279</f>
        <v>1964256.7599999998</v>
      </c>
      <c r="J279" s="44">
        <v>0</v>
      </c>
      <c r="K279" s="103">
        <f>I279+J279</f>
        <v>1964256.7599999998</v>
      </c>
      <c r="L279" s="103">
        <v>1500000</v>
      </c>
      <c r="M279" s="44">
        <v>0</v>
      </c>
      <c r="N279" s="103">
        <f>L279+M279</f>
        <v>1500000</v>
      </c>
      <c r="O279" s="103">
        <v>1500000</v>
      </c>
      <c r="P279" s="44">
        <v>0</v>
      </c>
      <c r="Q279" s="103">
        <f>O279+P279</f>
        <v>1500000</v>
      </c>
    </row>
    <row r="280" spans="1:17" x14ac:dyDescent="0.25">
      <c r="A280" s="30" t="s">
        <v>312</v>
      </c>
      <c r="B280" s="31" t="s">
        <v>397</v>
      </c>
      <c r="C280" s="32" t="s">
        <v>234</v>
      </c>
      <c r="D280" s="32" t="s">
        <v>234</v>
      </c>
      <c r="E280" s="32" t="s">
        <v>0</v>
      </c>
      <c r="F280" s="32" t="s">
        <v>0</v>
      </c>
      <c r="G280" s="42">
        <f t="shared" ref="G280:Q282" si="128">G281</f>
        <v>58987173.630168885</v>
      </c>
      <c r="H280" s="42">
        <f t="shared" si="128"/>
        <v>66022.69</v>
      </c>
      <c r="I280" s="42">
        <f t="shared" si="128"/>
        <v>59053196.320168883</v>
      </c>
      <c r="J280" s="42">
        <f t="shared" si="128"/>
        <v>414605</v>
      </c>
      <c r="K280" s="42">
        <f t="shared" si="128"/>
        <v>59467801.320168883</v>
      </c>
      <c r="L280" s="42">
        <f t="shared" si="128"/>
        <v>61386156.20817861</v>
      </c>
      <c r="M280" s="42">
        <f t="shared" si="128"/>
        <v>0</v>
      </c>
      <c r="N280" s="42">
        <f t="shared" si="128"/>
        <v>61386156.20817861</v>
      </c>
      <c r="O280" s="42">
        <f t="shared" si="128"/>
        <v>63841602.457409158</v>
      </c>
      <c r="P280" s="42">
        <f t="shared" si="128"/>
        <v>0</v>
      </c>
      <c r="Q280" s="42">
        <f t="shared" si="128"/>
        <v>63841602.457409158</v>
      </c>
    </row>
    <row r="281" spans="1:17" x14ac:dyDescent="0.25">
      <c r="A281" s="30" t="s">
        <v>245</v>
      </c>
      <c r="B281" s="31" t="s">
        <v>397</v>
      </c>
      <c r="C281" s="32" t="s">
        <v>234</v>
      </c>
      <c r="D281" s="32" t="s">
        <v>234</v>
      </c>
      <c r="E281" s="32" t="s">
        <v>246</v>
      </c>
      <c r="F281" s="32" t="s">
        <v>0</v>
      </c>
      <c r="G281" s="42">
        <f t="shared" si="128"/>
        <v>58987173.630168885</v>
      </c>
      <c r="H281" s="42">
        <f t="shared" si="128"/>
        <v>66022.69</v>
      </c>
      <c r="I281" s="42">
        <f t="shared" si="128"/>
        <v>59053196.320168883</v>
      </c>
      <c r="J281" s="42">
        <f t="shared" si="128"/>
        <v>414605</v>
      </c>
      <c r="K281" s="42">
        <f t="shared" si="128"/>
        <v>59467801.320168883</v>
      </c>
      <c r="L281" s="42">
        <f t="shared" si="128"/>
        <v>61386156.20817861</v>
      </c>
      <c r="M281" s="42">
        <f t="shared" si="128"/>
        <v>0</v>
      </c>
      <c r="N281" s="42">
        <f t="shared" si="128"/>
        <v>61386156.20817861</v>
      </c>
      <c r="O281" s="42">
        <f t="shared" si="128"/>
        <v>63841602.457409158</v>
      </c>
      <c r="P281" s="42">
        <f t="shared" si="128"/>
        <v>0</v>
      </c>
      <c r="Q281" s="42">
        <f t="shared" si="128"/>
        <v>63841602.457409158</v>
      </c>
    </row>
    <row r="282" spans="1:17" x14ac:dyDescent="0.25">
      <c r="A282" s="30" t="s">
        <v>313</v>
      </c>
      <c r="B282" s="31" t="s">
        <v>397</v>
      </c>
      <c r="C282" s="32" t="s">
        <v>234</v>
      </c>
      <c r="D282" s="32" t="s">
        <v>234</v>
      </c>
      <c r="E282" s="32" t="s">
        <v>314</v>
      </c>
      <c r="F282" s="32" t="s">
        <v>0</v>
      </c>
      <c r="G282" s="42">
        <f t="shared" si="128"/>
        <v>58987173.630168885</v>
      </c>
      <c r="H282" s="42">
        <f t="shared" si="128"/>
        <v>66022.69</v>
      </c>
      <c r="I282" s="42">
        <f t="shared" si="128"/>
        <v>59053196.320168883</v>
      </c>
      <c r="J282" s="42">
        <f t="shared" si="128"/>
        <v>414605</v>
      </c>
      <c r="K282" s="42">
        <f t="shared" si="128"/>
        <v>59467801.320168883</v>
      </c>
      <c r="L282" s="42">
        <f t="shared" si="128"/>
        <v>61386156.20817861</v>
      </c>
      <c r="M282" s="42">
        <f t="shared" si="128"/>
        <v>0</v>
      </c>
      <c r="N282" s="42">
        <f t="shared" si="128"/>
        <v>61386156.20817861</v>
      </c>
      <c r="O282" s="42">
        <f t="shared" si="128"/>
        <v>63841602.457409158</v>
      </c>
      <c r="P282" s="42">
        <f t="shared" si="128"/>
        <v>0</v>
      </c>
      <c r="Q282" s="42">
        <f t="shared" si="128"/>
        <v>63841602.457409158</v>
      </c>
    </row>
    <row r="283" spans="1:17" ht="27" x14ac:dyDescent="0.25">
      <c r="A283" s="34" t="s">
        <v>315</v>
      </c>
      <c r="B283" s="35" t="s">
        <v>397</v>
      </c>
      <c r="C283" s="36" t="s">
        <v>234</v>
      </c>
      <c r="D283" s="36" t="s">
        <v>234</v>
      </c>
      <c r="E283" s="36" t="s">
        <v>407</v>
      </c>
      <c r="F283" s="36" t="s">
        <v>0</v>
      </c>
      <c r="G283" s="43">
        <f t="shared" ref="G283:Q283" si="129">G284+G286+G285+G287</f>
        <v>58987173.630168885</v>
      </c>
      <c r="H283" s="43">
        <f t="shared" si="129"/>
        <v>66022.69</v>
      </c>
      <c r="I283" s="43">
        <f t="shared" si="129"/>
        <v>59053196.320168883</v>
      </c>
      <c r="J283" s="43">
        <f t="shared" si="129"/>
        <v>414605</v>
      </c>
      <c r="K283" s="43">
        <f t="shared" si="129"/>
        <v>59467801.320168883</v>
      </c>
      <c r="L283" s="43">
        <f t="shared" si="129"/>
        <v>61386156.20817861</v>
      </c>
      <c r="M283" s="43">
        <f t="shared" si="129"/>
        <v>0</v>
      </c>
      <c r="N283" s="43">
        <f t="shared" si="129"/>
        <v>61386156.20817861</v>
      </c>
      <c r="O283" s="43">
        <f t="shared" si="129"/>
        <v>63841602.457409158</v>
      </c>
      <c r="P283" s="43">
        <f t="shared" si="129"/>
        <v>0</v>
      </c>
      <c r="Q283" s="43">
        <f t="shared" si="129"/>
        <v>63841602.457409158</v>
      </c>
    </row>
    <row r="284" spans="1:17" x14ac:dyDescent="0.25">
      <c r="A284" s="96" t="s">
        <v>151</v>
      </c>
      <c r="B284" s="97" t="s">
        <v>397</v>
      </c>
      <c r="C284" s="98" t="s">
        <v>234</v>
      </c>
      <c r="D284" s="98" t="s">
        <v>234</v>
      </c>
      <c r="E284" s="98" t="s">
        <v>316</v>
      </c>
      <c r="F284" s="98" t="s">
        <v>152</v>
      </c>
      <c r="G284" s="103">
        <v>54362729.629946001</v>
      </c>
      <c r="H284" s="103">
        <v>-10000</v>
      </c>
      <c r="I284" s="103">
        <f>G284+H284</f>
        <v>54352729.629946001</v>
      </c>
      <c r="J284" s="103">
        <f>'По разделам 4'!I190</f>
        <v>414605</v>
      </c>
      <c r="K284" s="103">
        <f>I284+J284</f>
        <v>54767334.629946001</v>
      </c>
      <c r="L284" s="103">
        <v>56615228.209343739</v>
      </c>
      <c r="M284" s="103">
        <v>0</v>
      </c>
      <c r="N284" s="103">
        <f>L284+M284</f>
        <v>56615228.209343739</v>
      </c>
      <c r="O284" s="103">
        <v>58885044.45931749</v>
      </c>
      <c r="P284" s="103">
        <v>0</v>
      </c>
      <c r="Q284" s="103">
        <f>O284+P284</f>
        <v>58885044.45931749</v>
      </c>
    </row>
    <row r="285" spans="1:17" ht="30" x14ac:dyDescent="0.25">
      <c r="A285" s="96" t="s">
        <v>153</v>
      </c>
      <c r="B285" s="97" t="s">
        <v>397</v>
      </c>
      <c r="C285" s="98" t="s">
        <v>234</v>
      </c>
      <c r="D285" s="98" t="s">
        <v>234</v>
      </c>
      <c r="E285" s="98" t="s">
        <v>316</v>
      </c>
      <c r="F285" s="98" t="s">
        <v>158</v>
      </c>
      <c r="G285" s="103">
        <v>4459608.0002228813</v>
      </c>
      <c r="H285" s="103">
        <v>34027.69</v>
      </c>
      <c r="I285" s="103">
        <f>G285+H285</f>
        <v>4493635.6902228817</v>
      </c>
      <c r="J285" s="103">
        <v>0</v>
      </c>
      <c r="K285" s="103">
        <f>I285+J285</f>
        <v>4493635.6902228817</v>
      </c>
      <c r="L285" s="103">
        <v>4601146.9991948679</v>
      </c>
      <c r="M285" s="103">
        <v>0</v>
      </c>
      <c r="N285" s="103">
        <f>L285+M285</f>
        <v>4601146.9991948679</v>
      </c>
      <c r="O285" s="103">
        <v>4779985.997866068</v>
      </c>
      <c r="P285" s="103">
        <v>0</v>
      </c>
      <c r="Q285" s="103">
        <f>O285+P285</f>
        <v>4779985.997866068</v>
      </c>
    </row>
    <row r="286" spans="1:17" x14ac:dyDescent="0.25">
      <c r="A286" s="96" t="s">
        <v>209</v>
      </c>
      <c r="B286" s="97" t="s">
        <v>397</v>
      </c>
      <c r="C286" s="98" t="s">
        <v>234</v>
      </c>
      <c r="D286" s="98" t="s">
        <v>234</v>
      </c>
      <c r="E286" s="98" t="s">
        <v>407</v>
      </c>
      <c r="F286" s="98" t="s">
        <v>210</v>
      </c>
      <c r="G286" s="103">
        <v>0</v>
      </c>
      <c r="H286" s="103">
        <v>10000</v>
      </c>
      <c r="I286" s="103">
        <f>H286</f>
        <v>10000</v>
      </c>
      <c r="J286" s="103">
        <v>0</v>
      </c>
      <c r="K286" s="103">
        <f>I286+J286</f>
        <v>10000</v>
      </c>
      <c r="L286" s="103">
        <v>0</v>
      </c>
      <c r="M286" s="103">
        <v>0</v>
      </c>
      <c r="N286" s="103">
        <f>L286+M286</f>
        <v>0</v>
      </c>
      <c r="O286" s="103">
        <v>0</v>
      </c>
      <c r="P286" s="103">
        <v>0</v>
      </c>
      <c r="Q286" s="103">
        <f>O286+P286</f>
        <v>0</v>
      </c>
    </row>
    <row r="287" spans="1:17" x14ac:dyDescent="0.25">
      <c r="A287" s="96" t="s">
        <v>172</v>
      </c>
      <c r="B287" s="97" t="s">
        <v>397</v>
      </c>
      <c r="C287" s="98" t="s">
        <v>234</v>
      </c>
      <c r="D287" s="98" t="s">
        <v>234</v>
      </c>
      <c r="E287" s="98" t="s">
        <v>316</v>
      </c>
      <c r="F287" s="98" t="s">
        <v>173</v>
      </c>
      <c r="G287" s="103">
        <v>164836</v>
      </c>
      <c r="H287" s="103">
        <v>31995</v>
      </c>
      <c r="I287" s="103">
        <f>G287+H287</f>
        <v>196831</v>
      </c>
      <c r="J287" s="103">
        <v>0</v>
      </c>
      <c r="K287" s="103">
        <f>I287+J287</f>
        <v>196831</v>
      </c>
      <c r="L287" s="103">
        <v>169780.99964000002</v>
      </c>
      <c r="M287" s="103">
        <v>0</v>
      </c>
      <c r="N287" s="103">
        <f>L287+M287</f>
        <v>169780.99964000002</v>
      </c>
      <c r="O287" s="103">
        <v>176572.0002256</v>
      </c>
      <c r="P287" s="103">
        <v>0</v>
      </c>
      <c r="Q287" s="103">
        <f>O287+P287</f>
        <v>176572.0002256</v>
      </c>
    </row>
    <row r="291" spans="1:17" s="167" customFormat="1" ht="14.25" x14ac:dyDescent="0.25">
      <c r="A291" s="167" t="s">
        <v>392</v>
      </c>
      <c r="C291" s="168"/>
      <c r="D291" s="168"/>
      <c r="E291" s="168"/>
      <c r="F291" s="168"/>
      <c r="G291" s="168"/>
      <c r="H291" s="168"/>
      <c r="I291" s="175">
        <f>'По разделам 4'!H6</f>
        <v>1182438474.8831687</v>
      </c>
      <c r="J291" s="175">
        <f>'По разделам 4'!I6</f>
        <v>33597289.949999996</v>
      </c>
      <c r="K291" s="175">
        <f>'По разделам 4'!J6</f>
        <v>1216035764.8331687</v>
      </c>
      <c r="L291" s="175">
        <f>'По разделам 4'!K6</f>
        <v>520389422.42517859</v>
      </c>
      <c r="M291" s="175">
        <f>'По разделам 4'!L6</f>
        <v>2000000</v>
      </c>
      <c r="N291" s="175">
        <f>'По разделам 4'!M6</f>
        <v>522389422.42517859</v>
      </c>
      <c r="O291" s="175">
        <f>'По разделам 4'!N6</f>
        <v>552173651.72740912</v>
      </c>
      <c r="P291" s="175">
        <f>'По разделам 4'!O6</f>
        <v>2000000</v>
      </c>
      <c r="Q291" s="175">
        <f>'По разделам 4'!P6</f>
        <v>554173651.72740912</v>
      </c>
    </row>
    <row r="292" spans="1:17" s="167" customFormat="1" ht="14.25" x14ac:dyDescent="0.25">
      <c r="C292" s="168"/>
      <c r="D292" s="168"/>
      <c r="E292" s="168"/>
      <c r="F292" s="168"/>
      <c r="G292" s="168"/>
      <c r="H292" s="168"/>
      <c r="I292" s="168"/>
      <c r="J292" s="168"/>
      <c r="K292" s="168"/>
      <c r="M292" s="168"/>
      <c r="N292" s="168"/>
      <c r="P292" s="168"/>
      <c r="Q292" s="168"/>
    </row>
    <row r="293" spans="1:17" s="167" customFormat="1" ht="14.25" x14ac:dyDescent="0.25">
      <c r="C293" s="168"/>
      <c r="D293" s="168"/>
      <c r="E293" s="168"/>
      <c r="F293" s="168"/>
      <c r="G293" s="168"/>
      <c r="H293" s="168"/>
      <c r="I293" s="175">
        <f>I291-I6</f>
        <v>0</v>
      </c>
      <c r="J293" s="175">
        <f t="shared" ref="J293:Q293" si="130">J291-J6</f>
        <v>0</v>
      </c>
      <c r="K293" s="175">
        <f t="shared" si="130"/>
        <v>0</v>
      </c>
      <c r="L293" s="175">
        <f t="shared" si="130"/>
        <v>0</v>
      </c>
      <c r="M293" s="175">
        <f t="shared" si="130"/>
        <v>0</v>
      </c>
      <c r="N293" s="175">
        <f t="shared" si="130"/>
        <v>0</v>
      </c>
      <c r="O293" s="175">
        <f t="shared" si="130"/>
        <v>0</v>
      </c>
      <c r="P293" s="175">
        <f t="shared" si="130"/>
        <v>0</v>
      </c>
      <c r="Q293" s="175">
        <f t="shared" si="130"/>
        <v>0</v>
      </c>
    </row>
    <row r="294" spans="1:17" s="167" customFormat="1" ht="14.25" x14ac:dyDescent="0.25">
      <c r="C294" s="168"/>
      <c r="D294" s="168"/>
      <c r="E294" s="168"/>
      <c r="F294" s="168"/>
      <c r="G294" s="168"/>
      <c r="H294" s="168"/>
      <c r="I294" s="168"/>
      <c r="J294" s="168"/>
      <c r="K294" s="168"/>
      <c r="M294" s="168"/>
      <c r="N294" s="168"/>
      <c r="P294" s="168"/>
      <c r="Q294" s="168"/>
    </row>
    <row r="295" spans="1:17" s="167" customFormat="1" ht="14.25" x14ac:dyDescent="0.25">
      <c r="C295" s="168"/>
      <c r="D295" s="168"/>
      <c r="E295" s="168"/>
      <c r="F295" s="168"/>
      <c r="G295" s="168"/>
      <c r="H295" s="168"/>
      <c r="I295" s="168"/>
      <c r="J295" s="168"/>
      <c r="K295" s="168"/>
      <c r="M295" s="168"/>
      <c r="N295" s="168"/>
      <c r="P295" s="168"/>
      <c r="Q295" s="168"/>
    </row>
  </sheetData>
  <mergeCells count="3">
    <mergeCell ref="A4:Q4"/>
    <mergeCell ref="A3:Q3"/>
    <mergeCell ref="A2:Q2"/>
  </mergeCells>
  <pageMargins left="0.70866141732283472" right="0.70866141732283472" top="0.74803149606299213" bottom="0.74803149606299213" header="0.31496062992125984" footer="0.31496062992125984"/>
  <pageSetup paperSize="9" scale="45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9" sqref="G9"/>
    </sheetView>
  </sheetViews>
  <sheetFormatPr defaultRowHeight="12.75" x14ac:dyDescent="0.2"/>
  <cols>
    <col min="1" max="1" width="6.140625" style="127" customWidth="1"/>
    <col min="2" max="2" width="82.5703125" style="127" customWidth="1"/>
    <col min="3" max="3" width="16.7109375" style="127" customWidth="1"/>
    <col min="4" max="4" width="16.140625" style="127" customWidth="1"/>
    <col min="5" max="5" width="14.5703125" style="127" customWidth="1"/>
    <col min="6" max="256" width="9.140625" style="127"/>
    <col min="257" max="257" width="6.140625" style="127" customWidth="1"/>
    <col min="258" max="258" width="82.5703125" style="127" customWidth="1"/>
    <col min="259" max="259" width="16.7109375" style="127" customWidth="1"/>
    <col min="260" max="260" width="16.140625" style="127" customWidth="1"/>
    <col min="261" max="261" width="14.5703125" style="127" customWidth="1"/>
    <col min="262" max="512" width="9.140625" style="127"/>
    <col min="513" max="513" width="6.140625" style="127" customWidth="1"/>
    <col min="514" max="514" width="82.5703125" style="127" customWidth="1"/>
    <col min="515" max="515" width="16.7109375" style="127" customWidth="1"/>
    <col min="516" max="516" width="16.140625" style="127" customWidth="1"/>
    <col min="517" max="517" width="14.5703125" style="127" customWidth="1"/>
    <col min="518" max="768" width="9.140625" style="127"/>
    <col min="769" max="769" width="6.140625" style="127" customWidth="1"/>
    <col min="770" max="770" width="82.5703125" style="127" customWidth="1"/>
    <col min="771" max="771" width="16.7109375" style="127" customWidth="1"/>
    <col min="772" max="772" width="16.140625" style="127" customWidth="1"/>
    <col min="773" max="773" width="14.5703125" style="127" customWidth="1"/>
    <col min="774" max="1024" width="9.140625" style="127"/>
    <col min="1025" max="1025" width="6.140625" style="127" customWidth="1"/>
    <col min="1026" max="1026" width="82.5703125" style="127" customWidth="1"/>
    <col min="1027" max="1027" width="16.7109375" style="127" customWidth="1"/>
    <col min="1028" max="1028" width="16.140625" style="127" customWidth="1"/>
    <col min="1029" max="1029" width="14.5703125" style="127" customWidth="1"/>
    <col min="1030" max="1280" width="9.140625" style="127"/>
    <col min="1281" max="1281" width="6.140625" style="127" customWidth="1"/>
    <col min="1282" max="1282" width="82.5703125" style="127" customWidth="1"/>
    <col min="1283" max="1283" width="16.7109375" style="127" customWidth="1"/>
    <col min="1284" max="1284" width="16.140625" style="127" customWidth="1"/>
    <col min="1285" max="1285" width="14.5703125" style="127" customWidth="1"/>
    <col min="1286" max="1536" width="9.140625" style="127"/>
    <col min="1537" max="1537" width="6.140625" style="127" customWidth="1"/>
    <col min="1538" max="1538" width="82.5703125" style="127" customWidth="1"/>
    <col min="1539" max="1539" width="16.7109375" style="127" customWidth="1"/>
    <col min="1540" max="1540" width="16.140625" style="127" customWidth="1"/>
    <col min="1541" max="1541" width="14.5703125" style="127" customWidth="1"/>
    <col min="1542" max="1792" width="9.140625" style="127"/>
    <col min="1793" max="1793" width="6.140625" style="127" customWidth="1"/>
    <col min="1794" max="1794" width="82.5703125" style="127" customWidth="1"/>
    <col min="1795" max="1795" width="16.7109375" style="127" customWidth="1"/>
    <col min="1796" max="1796" width="16.140625" style="127" customWidth="1"/>
    <col min="1797" max="1797" width="14.5703125" style="127" customWidth="1"/>
    <col min="1798" max="2048" width="9.140625" style="127"/>
    <col min="2049" max="2049" width="6.140625" style="127" customWidth="1"/>
    <col min="2050" max="2050" width="82.5703125" style="127" customWidth="1"/>
    <col min="2051" max="2051" width="16.7109375" style="127" customWidth="1"/>
    <col min="2052" max="2052" width="16.140625" style="127" customWidth="1"/>
    <col min="2053" max="2053" width="14.5703125" style="127" customWidth="1"/>
    <col min="2054" max="2304" width="9.140625" style="127"/>
    <col min="2305" max="2305" width="6.140625" style="127" customWidth="1"/>
    <col min="2306" max="2306" width="82.5703125" style="127" customWidth="1"/>
    <col min="2307" max="2307" width="16.7109375" style="127" customWidth="1"/>
    <col min="2308" max="2308" width="16.140625" style="127" customWidth="1"/>
    <col min="2309" max="2309" width="14.5703125" style="127" customWidth="1"/>
    <col min="2310" max="2560" width="9.140625" style="127"/>
    <col min="2561" max="2561" width="6.140625" style="127" customWidth="1"/>
    <col min="2562" max="2562" width="82.5703125" style="127" customWidth="1"/>
    <col min="2563" max="2563" width="16.7109375" style="127" customWidth="1"/>
    <col min="2564" max="2564" width="16.140625" style="127" customWidth="1"/>
    <col min="2565" max="2565" width="14.5703125" style="127" customWidth="1"/>
    <col min="2566" max="2816" width="9.140625" style="127"/>
    <col min="2817" max="2817" width="6.140625" style="127" customWidth="1"/>
    <col min="2818" max="2818" width="82.5703125" style="127" customWidth="1"/>
    <col min="2819" max="2819" width="16.7109375" style="127" customWidth="1"/>
    <col min="2820" max="2820" width="16.140625" style="127" customWidth="1"/>
    <col min="2821" max="2821" width="14.5703125" style="127" customWidth="1"/>
    <col min="2822" max="3072" width="9.140625" style="127"/>
    <col min="3073" max="3073" width="6.140625" style="127" customWidth="1"/>
    <col min="3074" max="3074" width="82.5703125" style="127" customWidth="1"/>
    <col min="3075" max="3075" width="16.7109375" style="127" customWidth="1"/>
    <col min="3076" max="3076" width="16.140625" style="127" customWidth="1"/>
    <col min="3077" max="3077" width="14.5703125" style="127" customWidth="1"/>
    <col min="3078" max="3328" width="9.140625" style="127"/>
    <col min="3329" max="3329" width="6.140625" style="127" customWidth="1"/>
    <col min="3330" max="3330" width="82.5703125" style="127" customWidth="1"/>
    <col min="3331" max="3331" width="16.7109375" style="127" customWidth="1"/>
    <col min="3332" max="3332" width="16.140625" style="127" customWidth="1"/>
    <col min="3333" max="3333" width="14.5703125" style="127" customWidth="1"/>
    <col min="3334" max="3584" width="9.140625" style="127"/>
    <col min="3585" max="3585" width="6.140625" style="127" customWidth="1"/>
    <col min="3586" max="3586" width="82.5703125" style="127" customWidth="1"/>
    <col min="3587" max="3587" width="16.7109375" style="127" customWidth="1"/>
    <col min="3588" max="3588" width="16.140625" style="127" customWidth="1"/>
    <col min="3589" max="3589" width="14.5703125" style="127" customWidth="1"/>
    <col min="3590" max="3840" width="9.140625" style="127"/>
    <col min="3841" max="3841" width="6.140625" style="127" customWidth="1"/>
    <col min="3842" max="3842" width="82.5703125" style="127" customWidth="1"/>
    <col min="3843" max="3843" width="16.7109375" style="127" customWidth="1"/>
    <col min="3844" max="3844" width="16.140625" style="127" customWidth="1"/>
    <col min="3845" max="3845" width="14.5703125" style="127" customWidth="1"/>
    <col min="3846" max="4096" width="9.140625" style="127"/>
    <col min="4097" max="4097" width="6.140625" style="127" customWidth="1"/>
    <col min="4098" max="4098" width="82.5703125" style="127" customWidth="1"/>
    <col min="4099" max="4099" width="16.7109375" style="127" customWidth="1"/>
    <col min="4100" max="4100" width="16.140625" style="127" customWidth="1"/>
    <col min="4101" max="4101" width="14.5703125" style="127" customWidth="1"/>
    <col min="4102" max="4352" width="9.140625" style="127"/>
    <col min="4353" max="4353" width="6.140625" style="127" customWidth="1"/>
    <col min="4354" max="4354" width="82.5703125" style="127" customWidth="1"/>
    <col min="4355" max="4355" width="16.7109375" style="127" customWidth="1"/>
    <col min="4356" max="4356" width="16.140625" style="127" customWidth="1"/>
    <col min="4357" max="4357" width="14.5703125" style="127" customWidth="1"/>
    <col min="4358" max="4608" width="9.140625" style="127"/>
    <col min="4609" max="4609" width="6.140625" style="127" customWidth="1"/>
    <col min="4610" max="4610" width="82.5703125" style="127" customWidth="1"/>
    <col min="4611" max="4611" width="16.7109375" style="127" customWidth="1"/>
    <col min="4612" max="4612" width="16.140625" style="127" customWidth="1"/>
    <col min="4613" max="4613" width="14.5703125" style="127" customWidth="1"/>
    <col min="4614" max="4864" width="9.140625" style="127"/>
    <col min="4865" max="4865" width="6.140625" style="127" customWidth="1"/>
    <col min="4866" max="4866" width="82.5703125" style="127" customWidth="1"/>
    <col min="4867" max="4867" width="16.7109375" style="127" customWidth="1"/>
    <col min="4868" max="4868" width="16.140625" style="127" customWidth="1"/>
    <col min="4869" max="4869" width="14.5703125" style="127" customWidth="1"/>
    <col min="4870" max="5120" width="9.140625" style="127"/>
    <col min="5121" max="5121" width="6.140625" style="127" customWidth="1"/>
    <col min="5122" max="5122" width="82.5703125" style="127" customWidth="1"/>
    <col min="5123" max="5123" width="16.7109375" style="127" customWidth="1"/>
    <col min="5124" max="5124" width="16.140625" style="127" customWidth="1"/>
    <col min="5125" max="5125" width="14.5703125" style="127" customWidth="1"/>
    <col min="5126" max="5376" width="9.140625" style="127"/>
    <col min="5377" max="5377" width="6.140625" style="127" customWidth="1"/>
    <col min="5378" max="5378" width="82.5703125" style="127" customWidth="1"/>
    <col min="5379" max="5379" width="16.7109375" style="127" customWidth="1"/>
    <col min="5380" max="5380" width="16.140625" style="127" customWidth="1"/>
    <col min="5381" max="5381" width="14.5703125" style="127" customWidth="1"/>
    <col min="5382" max="5632" width="9.140625" style="127"/>
    <col min="5633" max="5633" width="6.140625" style="127" customWidth="1"/>
    <col min="5634" max="5634" width="82.5703125" style="127" customWidth="1"/>
    <col min="5635" max="5635" width="16.7109375" style="127" customWidth="1"/>
    <col min="5636" max="5636" width="16.140625" style="127" customWidth="1"/>
    <col min="5637" max="5637" width="14.5703125" style="127" customWidth="1"/>
    <col min="5638" max="5888" width="9.140625" style="127"/>
    <col min="5889" max="5889" width="6.140625" style="127" customWidth="1"/>
    <col min="5890" max="5890" width="82.5703125" style="127" customWidth="1"/>
    <col min="5891" max="5891" width="16.7109375" style="127" customWidth="1"/>
    <col min="5892" max="5892" width="16.140625" style="127" customWidth="1"/>
    <col min="5893" max="5893" width="14.5703125" style="127" customWidth="1"/>
    <col min="5894" max="6144" width="9.140625" style="127"/>
    <col min="6145" max="6145" width="6.140625" style="127" customWidth="1"/>
    <col min="6146" max="6146" width="82.5703125" style="127" customWidth="1"/>
    <col min="6147" max="6147" width="16.7109375" style="127" customWidth="1"/>
    <col min="6148" max="6148" width="16.140625" style="127" customWidth="1"/>
    <col min="6149" max="6149" width="14.5703125" style="127" customWidth="1"/>
    <col min="6150" max="6400" width="9.140625" style="127"/>
    <col min="6401" max="6401" width="6.140625" style="127" customWidth="1"/>
    <col min="6402" max="6402" width="82.5703125" style="127" customWidth="1"/>
    <col min="6403" max="6403" width="16.7109375" style="127" customWidth="1"/>
    <col min="6404" max="6404" width="16.140625" style="127" customWidth="1"/>
    <col min="6405" max="6405" width="14.5703125" style="127" customWidth="1"/>
    <col min="6406" max="6656" width="9.140625" style="127"/>
    <col min="6657" max="6657" width="6.140625" style="127" customWidth="1"/>
    <col min="6658" max="6658" width="82.5703125" style="127" customWidth="1"/>
    <col min="6659" max="6659" width="16.7109375" style="127" customWidth="1"/>
    <col min="6660" max="6660" width="16.140625" style="127" customWidth="1"/>
    <col min="6661" max="6661" width="14.5703125" style="127" customWidth="1"/>
    <col min="6662" max="6912" width="9.140625" style="127"/>
    <col min="6913" max="6913" width="6.140625" style="127" customWidth="1"/>
    <col min="6914" max="6914" width="82.5703125" style="127" customWidth="1"/>
    <col min="6915" max="6915" width="16.7109375" style="127" customWidth="1"/>
    <col min="6916" max="6916" width="16.140625" style="127" customWidth="1"/>
    <col min="6917" max="6917" width="14.5703125" style="127" customWidth="1"/>
    <col min="6918" max="7168" width="9.140625" style="127"/>
    <col min="7169" max="7169" width="6.140625" style="127" customWidth="1"/>
    <col min="7170" max="7170" width="82.5703125" style="127" customWidth="1"/>
    <col min="7171" max="7171" width="16.7109375" style="127" customWidth="1"/>
    <col min="7172" max="7172" width="16.140625" style="127" customWidth="1"/>
    <col min="7173" max="7173" width="14.5703125" style="127" customWidth="1"/>
    <col min="7174" max="7424" width="9.140625" style="127"/>
    <col min="7425" max="7425" width="6.140625" style="127" customWidth="1"/>
    <col min="7426" max="7426" width="82.5703125" style="127" customWidth="1"/>
    <col min="7427" max="7427" width="16.7109375" style="127" customWidth="1"/>
    <col min="7428" max="7428" width="16.140625" style="127" customWidth="1"/>
    <col min="7429" max="7429" width="14.5703125" style="127" customWidth="1"/>
    <col min="7430" max="7680" width="9.140625" style="127"/>
    <col min="7681" max="7681" width="6.140625" style="127" customWidth="1"/>
    <col min="7682" max="7682" width="82.5703125" style="127" customWidth="1"/>
    <col min="7683" max="7683" width="16.7109375" style="127" customWidth="1"/>
    <col min="7684" max="7684" width="16.140625" style="127" customWidth="1"/>
    <col min="7685" max="7685" width="14.5703125" style="127" customWidth="1"/>
    <col min="7686" max="7936" width="9.140625" style="127"/>
    <col min="7937" max="7937" width="6.140625" style="127" customWidth="1"/>
    <col min="7938" max="7938" width="82.5703125" style="127" customWidth="1"/>
    <col min="7939" max="7939" width="16.7109375" style="127" customWidth="1"/>
    <col min="7940" max="7940" width="16.140625" style="127" customWidth="1"/>
    <col min="7941" max="7941" width="14.5703125" style="127" customWidth="1"/>
    <col min="7942" max="8192" width="9.140625" style="127"/>
    <col min="8193" max="8193" width="6.140625" style="127" customWidth="1"/>
    <col min="8194" max="8194" width="82.5703125" style="127" customWidth="1"/>
    <col min="8195" max="8195" width="16.7109375" style="127" customWidth="1"/>
    <col min="8196" max="8196" width="16.140625" style="127" customWidth="1"/>
    <col min="8197" max="8197" width="14.5703125" style="127" customWidth="1"/>
    <col min="8198" max="8448" width="9.140625" style="127"/>
    <col min="8449" max="8449" width="6.140625" style="127" customWidth="1"/>
    <col min="8450" max="8450" width="82.5703125" style="127" customWidth="1"/>
    <col min="8451" max="8451" width="16.7109375" style="127" customWidth="1"/>
    <col min="8452" max="8452" width="16.140625" style="127" customWidth="1"/>
    <col min="8453" max="8453" width="14.5703125" style="127" customWidth="1"/>
    <col min="8454" max="8704" width="9.140625" style="127"/>
    <col min="8705" max="8705" width="6.140625" style="127" customWidth="1"/>
    <col min="8706" max="8706" width="82.5703125" style="127" customWidth="1"/>
    <col min="8707" max="8707" width="16.7109375" style="127" customWidth="1"/>
    <col min="8708" max="8708" width="16.140625" style="127" customWidth="1"/>
    <col min="8709" max="8709" width="14.5703125" style="127" customWidth="1"/>
    <col min="8710" max="8960" width="9.140625" style="127"/>
    <col min="8961" max="8961" width="6.140625" style="127" customWidth="1"/>
    <col min="8962" max="8962" width="82.5703125" style="127" customWidth="1"/>
    <col min="8963" max="8963" width="16.7109375" style="127" customWidth="1"/>
    <col min="8964" max="8964" width="16.140625" style="127" customWidth="1"/>
    <col min="8965" max="8965" width="14.5703125" style="127" customWidth="1"/>
    <col min="8966" max="9216" width="9.140625" style="127"/>
    <col min="9217" max="9217" width="6.140625" style="127" customWidth="1"/>
    <col min="9218" max="9218" width="82.5703125" style="127" customWidth="1"/>
    <col min="9219" max="9219" width="16.7109375" style="127" customWidth="1"/>
    <col min="9220" max="9220" width="16.140625" style="127" customWidth="1"/>
    <col min="9221" max="9221" width="14.5703125" style="127" customWidth="1"/>
    <col min="9222" max="9472" width="9.140625" style="127"/>
    <col min="9473" max="9473" width="6.140625" style="127" customWidth="1"/>
    <col min="9474" max="9474" width="82.5703125" style="127" customWidth="1"/>
    <col min="9475" max="9475" width="16.7109375" style="127" customWidth="1"/>
    <col min="9476" max="9476" width="16.140625" style="127" customWidth="1"/>
    <col min="9477" max="9477" width="14.5703125" style="127" customWidth="1"/>
    <col min="9478" max="9728" width="9.140625" style="127"/>
    <col min="9729" max="9729" width="6.140625" style="127" customWidth="1"/>
    <col min="9730" max="9730" width="82.5703125" style="127" customWidth="1"/>
    <col min="9731" max="9731" width="16.7109375" style="127" customWidth="1"/>
    <col min="9732" max="9732" width="16.140625" style="127" customWidth="1"/>
    <col min="9733" max="9733" width="14.5703125" style="127" customWidth="1"/>
    <col min="9734" max="9984" width="9.140625" style="127"/>
    <col min="9985" max="9985" width="6.140625" style="127" customWidth="1"/>
    <col min="9986" max="9986" width="82.5703125" style="127" customWidth="1"/>
    <col min="9987" max="9987" width="16.7109375" style="127" customWidth="1"/>
    <col min="9988" max="9988" width="16.140625" style="127" customWidth="1"/>
    <col min="9989" max="9989" width="14.5703125" style="127" customWidth="1"/>
    <col min="9990" max="10240" width="9.140625" style="127"/>
    <col min="10241" max="10241" width="6.140625" style="127" customWidth="1"/>
    <col min="10242" max="10242" width="82.5703125" style="127" customWidth="1"/>
    <col min="10243" max="10243" width="16.7109375" style="127" customWidth="1"/>
    <col min="10244" max="10244" width="16.140625" style="127" customWidth="1"/>
    <col min="10245" max="10245" width="14.5703125" style="127" customWidth="1"/>
    <col min="10246" max="10496" width="9.140625" style="127"/>
    <col min="10497" max="10497" width="6.140625" style="127" customWidth="1"/>
    <col min="10498" max="10498" width="82.5703125" style="127" customWidth="1"/>
    <col min="10499" max="10499" width="16.7109375" style="127" customWidth="1"/>
    <col min="10500" max="10500" width="16.140625" style="127" customWidth="1"/>
    <col min="10501" max="10501" width="14.5703125" style="127" customWidth="1"/>
    <col min="10502" max="10752" width="9.140625" style="127"/>
    <col min="10753" max="10753" width="6.140625" style="127" customWidth="1"/>
    <col min="10754" max="10754" width="82.5703125" style="127" customWidth="1"/>
    <col min="10755" max="10755" width="16.7109375" style="127" customWidth="1"/>
    <col min="10756" max="10756" width="16.140625" style="127" customWidth="1"/>
    <col min="10757" max="10757" width="14.5703125" style="127" customWidth="1"/>
    <col min="10758" max="11008" width="9.140625" style="127"/>
    <col min="11009" max="11009" width="6.140625" style="127" customWidth="1"/>
    <col min="11010" max="11010" width="82.5703125" style="127" customWidth="1"/>
    <col min="11011" max="11011" width="16.7109375" style="127" customWidth="1"/>
    <col min="11012" max="11012" width="16.140625" style="127" customWidth="1"/>
    <col min="11013" max="11013" width="14.5703125" style="127" customWidth="1"/>
    <col min="11014" max="11264" width="9.140625" style="127"/>
    <col min="11265" max="11265" width="6.140625" style="127" customWidth="1"/>
    <col min="11266" max="11266" width="82.5703125" style="127" customWidth="1"/>
    <col min="11267" max="11267" width="16.7109375" style="127" customWidth="1"/>
    <col min="11268" max="11268" width="16.140625" style="127" customWidth="1"/>
    <col min="11269" max="11269" width="14.5703125" style="127" customWidth="1"/>
    <col min="11270" max="11520" width="9.140625" style="127"/>
    <col min="11521" max="11521" width="6.140625" style="127" customWidth="1"/>
    <col min="11522" max="11522" width="82.5703125" style="127" customWidth="1"/>
    <col min="11523" max="11523" width="16.7109375" style="127" customWidth="1"/>
    <col min="11524" max="11524" width="16.140625" style="127" customWidth="1"/>
    <col min="11525" max="11525" width="14.5703125" style="127" customWidth="1"/>
    <col min="11526" max="11776" width="9.140625" style="127"/>
    <col min="11777" max="11777" width="6.140625" style="127" customWidth="1"/>
    <col min="11778" max="11778" width="82.5703125" style="127" customWidth="1"/>
    <col min="11779" max="11779" width="16.7109375" style="127" customWidth="1"/>
    <col min="11780" max="11780" width="16.140625" style="127" customWidth="1"/>
    <col min="11781" max="11781" width="14.5703125" style="127" customWidth="1"/>
    <col min="11782" max="12032" width="9.140625" style="127"/>
    <col min="12033" max="12033" width="6.140625" style="127" customWidth="1"/>
    <col min="12034" max="12034" width="82.5703125" style="127" customWidth="1"/>
    <col min="12035" max="12035" width="16.7109375" style="127" customWidth="1"/>
    <col min="12036" max="12036" width="16.140625" style="127" customWidth="1"/>
    <col min="12037" max="12037" width="14.5703125" style="127" customWidth="1"/>
    <col min="12038" max="12288" width="9.140625" style="127"/>
    <col min="12289" max="12289" width="6.140625" style="127" customWidth="1"/>
    <col min="12290" max="12290" width="82.5703125" style="127" customWidth="1"/>
    <col min="12291" max="12291" width="16.7109375" style="127" customWidth="1"/>
    <col min="12292" max="12292" width="16.140625" style="127" customWidth="1"/>
    <col min="12293" max="12293" width="14.5703125" style="127" customWidth="1"/>
    <col min="12294" max="12544" width="9.140625" style="127"/>
    <col min="12545" max="12545" width="6.140625" style="127" customWidth="1"/>
    <col min="12546" max="12546" width="82.5703125" style="127" customWidth="1"/>
    <col min="12547" max="12547" width="16.7109375" style="127" customWidth="1"/>
    <col min="12548" max="12548" width="16.140625" style="127" customWidth="1"/>
    <col min="12549" max="12549" width="14.5703125" style="127" customWidth="1"/>
    <col min="12550" max="12800" width="9.140625" style="127"/>
    <col min="12801" max="12801" width="6.140625" style="127" customWidth="1"/>
    <col min="12802" max="12802" width="82.5703125" style="127" customWidth="1"/>
    <col min="12803" max="12803" width="16.7109375" style="127" customWidth="1"/>
    <col min="12804" max="12804" width="16.140625" style="127" customWidth="1"/>
    <col min="12805" max="12805" width="14.5703125" style="127" customWidth="1"/>
    <col min="12806" max="13056" width="9.140625" style="127"/>
    <col min="13057" max="13057" width="6.140625" style="127" customWidth="1"/>
    <col min="13058" max="13058" width="82.5703125" style="127" customWidth="1"/>
    <col min="13059" max="13059" width="16.7109375" style="127" customWidth="1"/>
    <col min="13060" max="13060" width="16.140625" style="127" customWidth="1"/>
    <col min="13061" max="13061" width="14.5703125" style="127" customWidth="1"/>
    <col min="13062" max="13312" width="9.140625" style="127"/>
    <col min="13313" max="13313" width="6.140625" style="127" customWidth="1"/>
    <col min="13314" max="13314" width="82.5703125" style="127" customWidth="1"/>
    <col min="13315" max="13315" width="16.7109375" style="127" customWidth="1"/>
    <col min="13316" max="13316" width="16.140625" style="127" customWidth="1"/>
    <col min="13317" max="13317" width="14.5703125" style="127" customWidth="1"/>
    <col min="13318" max="13568" width="9.140625" style="127"/>
    <col min="13569" max="13569" width="6.140625" style="127" customWidth="1"/>
    <col min="13570" max="13570" width="82.5703125" style="127" customWidth="1"/>
    <col min="13571" max="13571" width="16.7109375" style="127" customWidth="1"/>
    <col min="13572" max="13572" width="16.140625" style="127" customWidth="1"/>
    <col min="13573" max="13573" width="14.5703125" style="127" customWidth="1"/>
    <col min="13574" max="13824" width="9.140625" style="127"/>
    <col min="13825" max="13825" width="6.140625" style="127" customWidth="1"/>
    <col min="13826" max="13826" width="82.5703125" style="127" customWidth="1"/>
    <col min="13827" max="13827" width="16.7109375" style="127" customWidth="1"/>
    <col min="13828" max="13828" width="16.140625" style="127" customWidth="1"/>
    <col min="13829" max="13829" width="14.5703125" style="127" customWidth="1"/>
    <col min="13830" max="14080" width="9.140625" style="127"/>
    <col min="14081" max="14081" width="6.140625" style="127" customWidth="1"/>
    <col min="14082" max="14082" width="82.5703125" style="127" customWidth="1"/>
    <col min="14083" max="14083" width="16.7109375" style="127" customWidth="1"/>
    <col min="14084" max="14084" width="16.140625" style="127" customWidth="1"/>
    <col min="14085" max="14085" width="14.5703125" style="127" customWidth="1"/>
    <col min="14086" max="14336" width="9.140625" style="127"/>
    <col min="14337" max="14337" width="6.140625" style="127" customWidth="1"/>
    <col min="14338" max="14338" width="82.5703125" style="127" customWidth="1"/>
    <col min="14339" max="14339" width="16.7109375" style="127" customWidth="1"/>
    <col min="14340" max="14340" width="16.140625" style="127" customWidth="1"/>
    <col min="14341" max="14341" width="14.5703125" style="127" customWidth="1"/>
    <col min="14342" max="14592" width="9.140625" style="127"/>
    <col min="14593" max="14593" width="6.140625" style="127" customWidth="1"/>
    <col min="14594" max="14594" width="82.5703125" style="127" customWidth="1"/>
    <col min="14595" max="14595" width="16.7109375" style="127" customWidth="1"/>
    <col min="14596" max="14596" width="16.140625" style="127" customWidth="1"/>
    <col min="14597" max="14597" width="14.5703125" style="127" customWidth="1"/>
    <col min="14598" max="14848" width="9.140625" style="127"/>
    <col min="14849" max="14849" width="6.140625" style="127" customWidth="1"/>
    <col min="14850" max="14850" width="82.5703125" style="127" customWidth="1"/>
    <col min="14851" max="14851" width="16.7109375" style="127" customWidth="1"/>
    <col min="14852" max="14852" width="16.140625" style="127" customWidth="1"/>
    <col min="14853" max="14853" width="14.5703125" style="127" customWidth="1"/>
    <col min="14854" max="15104" width="9.140625" style="127"/>
    <col min="15105" max="15105" width="6.140625" style="127" customWidth="1"/>
    <col min="15106" max="15106" width="82.5703125" style="127" customWidth="1"/>
    <col min="15107" max="15107" width="16.7109375" style="127" customWidth="1"/>
    <col min="15108" max="15108" width="16.140625" style="127" customWidth="1"/>
    <col min="15109" max="15109" width="14.5703125" style="127" customWidth="1"/>
    <col min="15110" max="15360" width="9.140625" style="127"/>
    <col min="15361" max="15361" width="6.140625" style="127" customWidth="1"/>
    <col min="15362" max="15362" width="82.5703125" style="127" customWidth="1"/>
    <col min="15363" max="15363" width="16.7109375" style="127" customWidth="1"/>
    <col min="15364" max="15364" width="16.140625" style="127" customWidth="1"/>
    <col min="15365" max="15365" width="14.5703125" style="127" customWidth="1"/>
    <col min="15366" max="15616" width="9.140625" style="127"/>
    <col min="15617" max="15617" width="6.140625" style="127" customWidth="1"/>
    <col min="15618" max="15618" width="82.5703125" style="127" customWidth="1"/>
    <col min="15619" max="15619" width="16.7109375" style="127" customWidth="1"/>
    <col min="15620" max="15620" width="16.140625" style="127" customWidth="1"/>
    <col min="15621" max="15621" width="14.5703125" style="127" customWidth="1"/>
    <col min="15622" max="15872" width="9.140625" style="127"/>
    <col min="15873" max="15873" width="6.140625" style="127" customWidth="1"/>
    <col min="15874" max="15874" width="82.5703125" style="127" customWidth="1"/>
    <col min="15875" max="15875" width="16.7109375" style="127" customWidth="1"/>
    <col min="15876" max="15876" width="16.140625" style="127" customWidth="1"/>
    <col min="15877" max="15877" width="14.5703125" style="127" customWidth="1"/>
    <col min="15878" max="16128" width="9.140625" style="127"/>
    <col min="16129" max="16129" width="6.140625" style="127" customWidth="1"/>
    <col min="16130" max="16130" width="82.5703125" style="127" customWidth="1"/>
    <col min="16131" max="16131" width="16.7109375" style="127" customWidth="1"/>
    <col min="16132" max="16132" width="16.140625" style="127" customWidth="1"/>
    <col min="16133" max="16133" width="14.5703125" style="127" customWidth="1"/>
    <col min="16134" max="16384" width="9.140625" style="127"/>
  </cols>
  <sheetData>
    <row r="1" spans="1:5" x14ac:dyDescent="0.2">
      <c r="D1" s="128"/>
      <c r="E1" s="129" t="s">
        <v>408</v>
      </c>
    </row>
    <row r="2" spans="1:5" x14ac:dyDescent="0.2">
      <c r="D2" s="218"/>
      <c r="E2" s="130" t="s">
        <v>438</v>
      </c>
    </row>
    <row r="3" spans="1:5" x14ac:dyDescent="0.2">
      <c r="D3" s="219"/>
      <c r="E3" s="131" t="s">
        <v>439</v>
      </c>
    </row>
    <row r="4" spans="1:5" x14ac:dyDescent="0.2">
      <c r="C4" s="132"/>
    </row>
    <row r="5" spans="1:5" ht="15.75" x14ac:dyDescent="0.2">
      <c r="A5" s="230" t="s">
        <v>409</v>
      </c>
      <c r="B5" s="230"/>
      <c r="C5" s="230"/>
      <c r="D5" s="230"/>
      <c r="E5" s="230"/>
    </row>
    <row r="6" spans="1:5" x14ac:dyDescent="0.2">
      <c r="A6" s="128"/>
      <c r="B6" s="128"/>
      <c r="C6" s="130"/>
      <c r="E6" s="130" t="s">
        <v>104</v>
      </c>
    </row>
    <row r="7" spans="1:5" ht="15.75" x14ac:dyDescent="0.2">
      <c r="A7" s="133" t="s">
        <v>410</v>
      </c>
      <c r="B7" s="133" t="s">
        <v>2</v>
      </c>
      <c r="C7" s="133">
        <v>2023</v>
      </c>
      <c r="D7" s="133">
        <v>2024</v>
      </c>
      <c r="E7" s="133">
        <v>2025</v>
      </c>
    </row>
    <row r="8" spans="1:5" ht="31.5" x14ac:dyDescent="0.2">
      <c r="A8" s="134" t="s">
        <v>411</v>
      </c>
      <c r="B8" s="135" t="str">
        <f>'Доходы 1'!B57</f>
        <v>Субсидии бюджетам городских поселений на реализацию программ формирования современной городской среды</v>
      </c>
      <c r="C8" s="136">
        <f>'Доходы 1'!G57</f>
        <v>4567811.45</v>
      </c>
      <c r="D8" s="137">
        <v>0</v>
      </c>
      <c r="E8" s="137">
        <v>0</v>
      </c>
    </row>
    <row r="9" spans="1:5" ht="15.75" x14ac:dyDescent="0.2">
      <c r="A9" s="134" t="s">
        <v>412</v>
      </c>
      <c r="B9" s="135" t="str">
        <f>'Доходы 1'!B58</f>
        <v>Программы по поддержке местных инициатив</v>
      </c>
      <c r="C9" s="138">
        <f>'Доходы 1'!G58</f>
        <v>6000000</v>
      </c>
      <c r="D9" s="137">
        <v>0</v>
      </c>
      <c r="E9" s="137">
        <v>0</v>
      </c>
    </row>
    <row r="10" spans="1:5" ht="63" x14ac:dyDescent="0.2">
      <c r="A10" s="134" t="s">
        <v>413</v>
      </c>
      <c r="B10" s="135" t="str">
        <f>'Доходы 1'!B59</f>
        <v>Межбюджетные трансферты,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v>
      </c>
      <c r="C10" s="136">
        <f>'Доходы 1'!G59</f>
        <v>7000000</v>
      </c>
      <c r="D10" s="137">
        <v>0</v>
      </c>
      <c r="E10" s="137">
        <v>0</v>
      </c>
    </row>
    <row r="11" spans="1:5" ht="31.5" x14ac:dyDescent="0.2">
      <c r="A11" s="134" t="s">
        <v>414</v>
      </c>
      <c r="B11" s="135" t="s">
        <v>85</v>
      </c>
      <c r="C11" s="136">
        <f>'Доходы 1'!G60</f>
        <v>206281895.12</v>
      </c>
      <c r="D11" s="136">
        <f>'Доходы 1'!J60</f>
        <v>660000</v>
      </c>
      <c r="E11" s="136">
        <v>0</v>
      </c>
    </row>
    <row r="12" spans="1:5" ht="66" customHeight="1" x14ac:dyDescent="0.2">
      <c r="A12" s="134" t="s">
        <v>415</v>
      </c>
      <c r="B12" s="135" t="str">
        <f>'Доходы 1'!B63</f>
        <v>Единая субвенция бюджетам городских поселений из бюджета субъекта Российской Федерации (Субвенция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владельцев)</v>
      </c>
      <c r="C12" s="139">
        <f>'Доходы 1'!G63</f>
        <v>3253443.4699999997</v>
      </c>
      <c r="D12" s="138">
        <v>0</v>
      </c>
      <c r="E12" s="138">
        <v>0</v>
      </c>
    </row>
    <row r="13" spans="1:5" ht="15.75" x14ac:dyDescent="0.2">
      <c r="A13" s="140"/>
      <c r="B13" s="141" t="s">
        <v>416</v>
      </c>
      <c r="C13" s="142">
        <f>SUM(C8:C12)</f>
        <v>227103150.03999999</v>
      </c>
      <c r="D13" s="142">
        <f>SUM(D8:D12)</f>
        <v>660000</v>
      </c>
      <c r="E13" s="142">
        <f>SUM(E8:E12)</f>
        <v>0</v>
      </c>
    </row>
    <row r="15" spans="1:5" ht="15.75" x14ac:dyDescent="0.2">
      <c r="C15" s="143"/>
    </row>
    <row r="20" spans="2:2" ht="15.75" x14ac:dyDescent="0.2">
      <c r="B20" s="144"/>
    </row>
  </sheetData>
  <mergeCells count="1">
    <mergeCell ref="A5:E5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22"/>
  <sheetViews>
    <sheetView zoomScaleNormal="100" workbookViewId="0">
      <selection activeCell="J14" sqref="J14"/>
    </sheetView>
  </sheetViews>
  <sheetFormatPr defaultRowHeight="12.75" outlineLevelRow="1" x14ac:dyDescent="0.2"/>
  <cols>
    <col min="1" max="1" width="31.28515625" style="127" customWidth="1"/>
    <col min="2" max="2" width="80.5703125" style="127" customWidth="1"/>
    <col min="3" max="3" width="21.85546875" style="127" customWidth="1"/>
    <col min="4" max="4" width="20.7109375" style="127" bestFit="1" customWidth="1"/>
    <col min="5" max="5" width="19.85546875" style="127" customWidth="1"/>
    <col min="6" max="256" width="9.140625" style="127"/>
    <col min="257" max="257" width="31.28515625" style="127" customWidth="1"/>
    <col min="258" max="258" width="80.5703125" style="127" customWidth="1"/>
    <col min="259" max="259" width="21.85546875" style="127" customWidth="1"/>
    <col min="260" max="260" width="20.7109375" style="127" bestFit="1" customWidth="1"/>
    <col min="261" max="261" width="19.85546875" style="127" customWidth="1"/>
    <col min="262" max="512" width="9.140625" style="127"/>
    <col min="513" max="513" width="31.28515625" style="127" customWidth="1"/>
    <col min="514" max="514" width="80.5703125" style="127" customWidth="1"/>
    <col min="515" max="515" width="21.85546875" style="127" customWidth="1"/>
    <col min="516" max="516" width="20.7109375" style="127" bestFit="1" customWidth="1"/>
    <col min="517" max="517" width="19.85546875" style="127" customWidth="1"/>
    <col min="518" max="768" width="9.140625" style="127"/>
    <col min="769" max="769" width="31.28515625" style="127" customWidth="1"/>
    <col min="770" max="770" width="80.5703125" style="127" customWidth="1"/>
    <col min="771" max="771" width="21.85546875" style="127" customWidth="1"/>
    <col min="772" max="772" width="20.7109375" style="127" bestFit="1" customWidth="1"/>
    <col min="773" max="773" width="19.85546875" style="127" customWidth="1"/>
    <col min="774" max="1024" width="9.140625" style="127"/>
    <col min="1025" max="1025" width="31.28515625" style="127" customWidth="1"/>
    <col min="1026" max="1026" width="80.5703125" style="127" customWidth="1"/>
    <col min="1027" max="1027" width="21.85546875" style="127" customWidth="1"/>
    <col min="1028" max="1028" width="20.7109375" style="127" bestFit="1" customWidth="1"/>
    <col min="1029" max="1029" width="19.85546875" style="127" customWidth="1"/>
    <col min="1030" max="1280" width="9.140625" style="127"/>
    <col min="1281" max="1281" width="31.28515625" style="127" customWidth="1"/>
    <col min="1282" max="1282" width="80.5703125" style="127" customWidth="1"/>
    <col min="1283" max="1283" width="21.85546875" style="127" customWidth="1"/>
    <col min="1284" max="1284" width="20.7109375" style="127" bestFit="1" customWidth="1"/>
    <col min="1285" max="1285" width="19.85546875" style="127" customWidth="1"/>
    <col min="1286" max="1536" width="9.140625" style="127"/>
    <col min="1537" max="1537" width="31.28515625" style="127" customWidth="1"/>
    <col min="1538" max="1538" width="80.5703125" style="127" customWidth="1"/>
    <col min="1539" max="1539" width="21.85546875" style="127" customWidth="1"/>
    <col min="1540" max="1540" width="20.7109375" style="127" bestFit="1" customWidth="1"/>
    <col min="1541" max="1541" width="19.85546875" style="127" customWidth="1"/>
    <col min="1542" max="1792" width="9.140625" style="127"/>
    <col min="1793" max="1793" width="31.28515625" style="127" customWidth="1"/>
    <col min="1794" max="1794" width="80.5703125" style="127" customWidth="1"/>
    <col min="1795" max="1795" width="21.85546875" style="127" customWidth="1"/>
    <col min="1796" max="1796" width="20.7109375" style="127" bestFit="1" customWidth="1"/>
    <col min="1797" max="1797" width="19.85546875" style="127" customWidth="1"/>
    <col min="1798" max="2048" width="9.140625" style="127"/>
    <col min="2049" max="2049" width="31.28515625" style="127" customWidth="1"/>
    <col min="2050" max="2050" width="80.5703125" style="127" customWidth="1"/>
    <col min="2051" max="2051" width="21.85546875" style="127" customWidth="1"/>
    <col min="2052" max="2052" width="20.7109375" style="127" bestFit="1" customWidth="1"/>
    <col min="2053" max="2053" width="19.85546875" style="127" customWidth="1"/>
    <col min="2054" max="2304" width="9.140625" style="127"/>
    <col min="2305" max="2305" width="31.28515625" style="127" customWidth="1"/>
    <col min="2306" max="2306" width="80.5703125" style="127" customWidth="1"/>
    <col min="2307" max="2307" width="21.85546875" style="127" customWidth="1"/>
    <col min="2308" max="2308" width="20.7109375" style="127" bestFit="1" customWidth="1"/>
    <col min="2309" max="2309" width="19.85546875" style="127" customWidth="1"/>
    <col min="2310" max="2560" width="9.140625" style="127"/>
    <col min="2561" max="2561" width="31.28515625" style="127" customWidth="1"/>
    <col min="2562" max="2562" width="80.5703125" style="127" customWidth="1"/>
    <col min="2563" max="2563" width="21.85546875" style="127" customWidth="1"/>
    <col min="2564" max="2564" width="20.7109375" style="127" bestFit="1" customWidth="1"/>
    <col min="2565" max="2565" width="19.85546875" style="127" customWidth="1"/>
    <col min="2566" max="2816" width="9.140625" style="127"/>
    <col min="2817" max="2817" width="31.28515625" style="127" customWidth="1"/>
    <col min="2818" max="2818" width="80.5703125" style="127" customWidth="1"/>
    <col min="2819" max="2819" width="21.85546875" style="127" customWidth="1"/>
    <col min="2820" max="2820" width="20.7109375" style="127" bestFit="1" customWidth="1"/>
    <col min="2821" max="2821" width="19.85546875" style="127" customWidth="1"/>
    <col min="2822" max="3072" width="9.140625" style="127"/>
    <col min="3073" max="3073" width="31.28515625" style="127" customWidth="1"/>
    <col min="3074" max="3074" width="80.5703125" style="127" customWidth="1"/>
    <col min="3075" max="3075" width="21.85546875" style="127" customWidth="1"/>
    <col min="3076" max="3076" width="20.7109375" style="127" bestFit="1" customWidth="1"/>
    <col min="3077" max="3077" width="19.85546875" style="127" customWidth="1"/>
    <col min="3078" max="3328" width="9.140625" style="127"/>
    <col min="3329" max="3329" width="31.28515625" style="127" customWidth="1"/>
    <col min="3330" max="3330" width="80.5703125" style="127" customWidth="1"/>
    <col min="3331" max="3331" width="21.85546875" style="127" customWidth="1"/>
    <col min="3332" max="3332" width="20.7109375" style="127" bestFit="1" customWidth="1"/>
    <col min="3333" max="3333" width="19.85546875" style="127" customWidth="1"/>
    <col min="3334" max="3584" width="9.140625" style="127"/>
    <col min="3585" max="3585" width="31.28515625" style="127" customWidth="1"/>
    <col min="3586" max="3586" width="80.5703125" style="127" customWidth="1"/>
    <col min="3587" max="3587" width="21.85546875" style="127" customWidth="1"/>
    <col min="3588" max="3588" width="20.7109375" style="127" bestFit="1" customWidth="1"/>
    <col min="3589" max="3589" width="19.85546875" style="127" customWidth="1"/>
    <col min="3590" max="3840" width="9.140625" style="127"/>
    <col min="3841" max="3841" width="31.28515625" style="127" customWidth="1"/>
    <col min="3842" max="3842" width="80.5703125" style="127" customWidth="1"/>
    <col min="3843" max="3843" width="21.85546875" style="127" customWidth="1"/>
    <col min="3844" max="3844" width="20.7109375" style="127" bestFit="1" customWidth="1"/>
    <col min="3845" max="3845" width="19.85546875" style="127" customWidth="1"/>
    <col min="3846" max="4096" width="9.140625" style="127"/>
    <col min="4097" max="4097" width="31.28515625" style="127" customWidth="1"/>
    <col min="4098" max="4098" width="80.5703125" style="127" customWidth="1"/>
    <col min="4099" max="4099" width="21.85546875" style="127" customWidth="1"/>
    <col min="4100" max="4100" width="20.7109375" style="127" bestFit="1" customWidth="1"/>
    <col min="4101" max="4101" width="19.85546875" style="127" customWidth="1"/>
    <col min="4102" max="4352" width="9.140625" style="127"/>
    <col min="4353" max="4353" width="31.28515625" style="127" customWidth="1"/>
    <col min="4354" max="4354" width="80.5703125" style="127" customWidth="1"/>
    <col min="4355" max="4355" width="21.85546875" style="127" customWidth="1"/>
    <col min="4356" max="4356" width="20.7109375" style="127" bestFit="1" customWidth="1"/>
    <col min="4357" max="4357" width="19.85546875" style="127" customWidth="1"/>
    <col min="4358" max="4608" width="9.140625" style="127"/>
    <col min="4609" max="4609" width="31.28515625" style="127" customWidth="1"/>
    <col min="4610" max="4610" width="80.5703125" style="127" customWidth="1"/>
    <col min="4611" max="4611" width="21.85546875" style="127" customWidth="1"/>
    <col min="4612" max="4612" width="20.7109375" style="127" bestFit="1" customWidth="1"/>
    <col min="4613" max="4613" width="19.85546875" style="127" customWidth="1"/>
    <col min="4614" max="4864" width="9.140625" style="127"/>
    <col min="4865" max="4865" width="31.28515625" style="127" customWidth="1"/>
    <col min="4866" max="4866" width="80.5703125" style="127" customWidth="1"/>
    <col min="4867" max="4867" width="21.85546875" style="127" customWidth="1"/>
    <col min="4868" max="4868" width="20.7109375" style="127" bestFit="1" customWidth="1"/>
    <col min="4869" max="4869" width="19.85546875" style="127" customWidth="1"/>
    <col min="4870" max="5120" width="9.140625" style="127"/>
    <col min="5121" max="5121" width="31.28515625" style="127" customWidth="1"/>
    <col min="5122" max="5122" width="80.5703125" style="127" customWidth="1"/>
    <col min="5123" max="5123" width="21.85546875" style="127" customWidth="1"/>
    <col min="5124" max="5124" width="20.7109375" style="127" bestFit="1" customWidth="1"/>
    <col min="5125" max="5125" width="19.85546875" style="127" customWidth="1"/>
    <col min="5126" max="5376" width="9.140625" style="127"/>
    <col min="5377" max="5377" width="31.28515625" style="127" customWidth="1"/>
    <col min="5378" max="5378" width="80.5703125" style="127" customWidth="1"/>
    <col min="5379" max="5379" width="21.85546875" style="127" customWidth="1"/>
    <col min="5380" max="5380" width="20.7109375" style="127" bestFit="1" customWidth="1"/>
    <col min="5381" max="5381" width="19.85546875" style="127" customWidth="1"/>
    <col min="5382" max="5632" width="9.140625" style="127"/>
    <col min="5633" max="5633" width="31.28515625" style="127" customWidth="1"/>
    <col min="5634" max="5634" width="80.5703125" style="127" customWidth="1"/>
    <col min="5635" max="5635" width="21.85546875" style="127" customWidth="1"/>
    <col min="5636" max="5636" width="20.7109375" style="127" bestFit="1" customWidth="1"/>
    <col min="5637" max="5637" width="19.85546875" style="127" customWidth="1"/>
    <col min="5638" max="5888" width="9.140625" style="127"/>
    <col min="5889" max="5889" width="31.28515625" style="127" customWidth="1"/>
    <col min="5890" max="5890" width="80.5703125" style="127" customWidth="1"/>
    <col min="5891" max="5891" width="21.85546875" style="127" customWidth="1"/>
    <col min="5892" max="5892" width="20.7109375" style="127" bestFit="1" customWidth="1"/>
    <col min="5893" max="5893" width="19.85546875" style="127" customWidth="1"/>
    <col min="5894" max="6144" width="9.140625" style="127"/>
    <col min="6145" max="6145" width="31.28515625" style="127" customWidth="1"/>
    <col min="6146" max="6146" width="80.5703125" style="127" customWidth="1"/>
    <col min="6147" max="6147" width="21.85546875" style="127" customWidth="1"/>
    <col min="6148" max="6148" width="20.7109375" style="127" bestFit="1" customWidth="1"/>
    <col min="6149" max="6149" width="19.85546875" style="127" customWidth="1"/>
    <col min="6150" max="6400" width="9.140625" style="127"/>
    <col min="6401" max="6401" width="31.28515625" style="127" customWidth="1"/>
    <col min="6402" max="6402" width="80.5703125" style="127" customWidth="1"/>
    <col min="6403" max="6403" width="21.85546875" style="127" customWidth="1"/>
    <col min="6404" max="6404" width="20.7109375" style="127" bestFit="1" customWidth="1"/>
    <col min="6405" max="6405" width="19.85546875" style="127" customWidth="1"/>
    <col min="6406" max="6656" width="9.140625" style="127"/>
    <col min="6657" max="6657" width="31.28515625" style="127" customWidth="1"/>
    <col min="6658" max="6658" width="80.5703125" style="127" customWidth="1"/>
    <col min="6659" max="6659" width="21.85546875" style="127" customWidth="1"/>
    <col min="6660" max="6660" width="20.7109375" style="127" bestFit="1" customWidth="1"/>
    <col min="6661" max="6661" width="19.85546875" style="127" customWidth="1"/>
    <col min="6662" max="6912" width="9.140625" style="127"/>
    <col min="6913" max="6913" width="31.28515625" style="127" customWidth="1"/>
    <col min="6914" max="6914" width="80.5703125" style="127" customWidth="1"/>
    <col min="6915" max="6915" width="21.85546875" style="127" customWidth="1"/>
    <col min="6916" max="6916" width="20.7109375" style="127" bestFit="1" customWidth="1"/>
    <col min="6917" max="6917" width="19.85546875" style="127" customWidth="1"/>
    <col min="6918" max="7168" width="9.140625" style="127"/>
    <col min="7169" max="7169" width="31.28515625" style="127" customWidth="1"/>
    <col min="7170" max="7170" width="80.5703125" style="127" customWidth="1"/>
    <col min="7171" max="7171" width="21.85546875" style="127" customWidth="1"/>
    <col min="7172" max="7172" width="20.7109375" style="127" bestFit="1" customWidth="1"/>
    <col min="7173" max="7173" width="19.85546875" style="127" customWidth="1"/>
    <col min="7174" max="7424" width="9.140625" style="127"/>
    <col min="7425" max="7425" width="31.28515625" style="127" customWidth="1"/>
    <col min="7426" max="7426" width="80.5703125" style="127" customWidth="1"/>
    <col min="7427" max="7427" width="21.85546875" style="127" customWidth="1"/>
    <col min="7428" max="7428" width="20.7109375" style="127" bestFit="1" customWidth="1"/>
    <col min="7429" max="7429" width="19.85546875" style="127" customWidth="1"/>
    <col min="7430" max="7680" width="9.140625" style="127"/>
    <col min="7681" max="7681" width="31.28515625" style="127" customWidth="1"/>
    <col min="7682" max="7682" width="80.5703125" style="127" customWidth="1"/>
    <col min="7683" max="7683" width="21.85546875" style="127" customWidth="1"/>
    <col min="7684" max="7684" width="20.7109375" style="127" bestFit="1" customWidth="1"/>
    <col min="7685" max="7685" width="19.85546875" style="127" customWidth="1"/>
    <col min="7686" max="7936" width="9.140625" style="127"/>
    <col min="7937" max="7937" width="31.28515625" style="127" customWidth="1"/>
    <col min="7938" max="7938" width="80.5703125" style="127" customWidth="1"/>
    <col min="7939" max="7939" width="21.85546875" style="127" customWidth="1"/>
    <col min="7940" max="7940" width="20.7109375" style="127" bestFit="1" customWidth="1"/>
    <col min="7941" max="7941" width="19.85546875" style="127" customWidth="1"/>
    <col min="7942" max="8192" width="9.140625" style="127"/>
    <col min="8193" max="8193" width="31.28515625" style="127" customWidth="1"/>
    <col min="8194" max="8194" width="80.5703125" style="127" customWidth="1"/>
    <col min="8195" max="8195" width="21.85546875" style="127" customWidth="1"/>
    <col min="8196" max="8196" width="20.7109375" style="127" bestFit="1" customWidth="1"/>
    <col min="8197" max="8197" width="19.85546875" style="127" customWidth="1"/>
    <col min="8198" max="8448" width="9.140625" style="127"/>
    <col min="8449" max="8449" width="31.28515625" style="127" customWidth="1"/>
    <col min="8450" max="8450" width="80.5703125" style="127" customWidth="1"/>
    <col min="8451" max="8451" width="21.85546875" style="127" customWidth="1"/>
    <col min="8452" max="8452" width="20.7109375" style="127" bestFit="1" customWidth="1"/>
    <col min="8453" max="8453" width="19.85546875" style="127" customWidth="1"/>
    <col min="8454" max="8704" width="9.140625" style="127"/>
    <col min="8705" max="8705" width="31.28515625" style="127" customWidth="1"/>
    <col min="8706" max="8706" width="80.5703125" style="127" customWidth="1"/>
    <col min="8707" max="8707" width="21.85546875" style="127" customWidth="1"/>
    <col min="8708" max="8708" width="20.7109375" style="127" bestFit="1" customWidth="1"/>
    <col min="8709" max="8709" width="19.85546875" style="127" customWidth="1"/>
    <col min="8710" max="8960" width="9.140625" style="127"/>
    <col min="8961" max="8961" width="31.28515625" style="127" customWidth="1"/>
    <col min="8962" max="8962" width="80.5703125" style="127" customWidth="1"/>
    <col min="8963" max="8963" width="21.85546875" style="127" customWidth="1"/>
    <col min="8964" max="8964" width="20.7109375" style="127" bestFit="1" customWidth="1"/>
    <col min="8965" max="8965" width="19.85546875" style="127" customWidth="1"/>
    <col min="8966" max="9216" width="9.140625" style="127"/>
    <col min="9217" max="9217" width="31.28515625" style="127" customWidth="1"/>
    <col min="9218" max="9218" width="80.5703125" style="127" customWidth="1"/>
    <col min="9219" max="9219" width="21.85546875" style="127" customWidth="1"/>
    <col min="9220" max="9220" width="20.7109375" style="127" bestFit="1" customWidth="1"/>
    <col min="9221" max="9221" width="19.85546875" style="127" customWidth="1"/>
    <col min="9222" max="9472" width="9.140625" style="127"/>
    <col min="9473" max="9473" width="31.28515625" style="127" customWidth="1"/>
    <col min="9474" max="9474" width="80.5703125" style="127" customWidth="1"/>
    <col min="9475" max="9475" width="21.85546875" style="127" customWidth="1"/>
    <col min="9476" max="9476" width="20.7109375" style="127" bestFit="1" customWidth="1"/>
    <col min="9477" max="9477" width="19.85546875" style="127" customWidth="1"/>
    <col min="9478" max="9728" width="9.140625" style="127"/>
    <col min="9729" max="9729" width="31.28515625" style="127" customWidth="1"/>
    <col min="9730" max="9730" width="80.5703125" style="127" customWidth="1"/>
    <col min="9731" max="9731" width="21.85546875" style="127" customWidth="1"/>
    <col min="9732" max="9732" width="20.7109375" style="127" bestFit="1" customWidth="1"/>
    <col min="9733" max="9733" width="19.85546875" style="127" customWidth="1"/>
    <col min="9734" max="9984" width="9.140625" style="127"/>
    <col min="9985" max="9985" width="31.28515625" style="127" customWidth="1"/>
    <col min="9986" max="9986" width="80.5703125" style="127" customWidth="1"/>
    <col min="9987" max="9987" width="21.85546875" style="127" customWidth="1"/>
    <col min="9988" max="9988" width="20.7109375" style="127" bestFit="1" customWidth="1"/>
    <col min="9989" max="9989" width="19.85546875" style="127" customWidth="1"/>
    <col min="9990" max="10240" width="9.140625" style="127"/>
    <col min="10241" max="10241" width="31.28515625" style="127" customWidth="1"/>
    <col min="10242" max="10242" width="80.5703125" style="127" customWidth="1"/>
    <col min="10243" max="10243" width="21.85546875" style="127" customWidth="1"/>
    <col min="10244" max="10244" width="20.7109375" style="127" bestFit="1" customWidth="1"/>
    <col min="10245" max="10245" width="19.85546875" style="127" customWidth="1"/>
    <col min="10246" max="10496" width="9.140625" style="127"/>
    <col min="10497" max="10497" width="31.28515625" style="127" customWidth="1"/>
    <col min="10498" max="10498" width="80.5703125" style="127" customWidth="1"/>
    <col min="10499" max="10499" width="21.85546875" style="127" customWidth="1"/>
    <col min="10500" max="10500" width="20.7109375" style="127" bestFit="1" customWidth="1"/>
    <col min="10501" max="10501" width="19.85546875" style="127" customWidth="1"/>
    <col min="10502" max="10752" width="9.140625" style="127"/>
    <col min="10753" max="10753" width="31.28515625" style="127" customWidth="1"/>
    <col min="10754" max="10754" width="80.5703125" style="127" customWidth="1"/>
    <col min="10755" max="10755" width="21.85546875" style="127" customWidth="1"/>
    <col min="10756" max="10756" width="20.7109375" style="127" bestFit="1" customWidth="1"/>
    <col min="10757" max="10757" width="19.85546875" style="127" customWidth="1"/>
    <col min="10758" max="11008" width="9.140625" style="127"/>
    <col min="11009" max="11009" width="31.28515625" style="127" customWidth="1"/>
    <col min="11010" max="11010" width="80.5703125" style="127" customWidth="1"/>
    <col min="11011" max="11011" width="21.85546875" style="127" customWidth="1"/>
    <col min="11012" max="11012" width="20.7109375" style="127" bestFit="1" customWidth="1"/>
    <col min="11013" max="11013" width="19.85546875" style="127" customWidth="1"/>
    <col min="11014" max="11264" width="9.140625" style="127"/>
    <col min="11265" max="11265" width="31.28515625" style="127" customWidth="1"/>
    <col min="11266" max="11266" width="80.5703125" style="127" customWidth="1"/>
    <col min="11267" max="11267" width="21.85546875" style="127" customWidth="1"/>
    <col min="11268" max="11268" width="20.7109375" style="127" bestFit="1" customWidth="1"/>
    <col min="11269" max="11269" width="19.85546875" style="127" customWidth="1"/>
    <col min="11270" max="11520" width="9.140625" style="127"/>
    <col min="11521" max="11521" width="31.28515625" style="127" customWidth="1"/>
    <col min="11522" max="11522" width="80.5703125" style="127" customWidth="1"/>
    <col min="11523" max="11523" width="21.85546875" style="127" customWidth="1"/>
    <col min="11524" max="11524" width="20.7109375" style="127" bestFit="1" customWidth="1"/>
    <col min="11525" max="11525" width="19.85546875" style="127" customWidth="1"/>
    <col min="11526" max="11776" width="9.140625" style="127"/>
    <col min="11777" max="11777" width="31.28515625" style="127" customWidth="1"/>
    <col min="11778" max="11778" width="80.5703125" style="127" customWidth="1"/>
    <col min="11779" max="11779" width="21.85546875" style="127" customWidth="1"/>
    <col min="11780" max="11780" width="20.7109375" style="127" bestFit="1" customWidth="1"/>
    <col min="11781" max="11781" width="19.85546875" style="127" customWidth="1"/>
    <col min="11782" max="12032" width="9.140625" style="127"/>
    <col min="12033" max="12033" width="31.28515625" style="127" customWidth="1"/>
    <col min="12034" max="12034" width="80.5703125" style="127" customWidth="1"/>
    <col min="12035" max="12035" width="21.85546875" style="127" customWidth="1"/>
    <col min="12036" max="12036" width="20.7109375" style="127" bestFit="1" customWidth="1"/>
    <col min="12037" max="12037" width="19.85546875" style="127" customWidth="1"/>
    <col min="12038" max="12288" width="9.140625" style="127"/>
    <col min="12289" max="12289" width="31.28515625" style="127" customWidth="1"/>
    <col min="12290" max="12290" width="80.5703125" style="127" customWidth="1"/>
    <col min="12291" max="12291" width="21.85546875" style="127" customWidth="1"/>
    <col min="12292" max="12292" width="20.7109375" style="127" bestFit="1" customWidth="1"/>
    <col min="12293" max="12293" width="19.85546875" style="127" customWidth="1"/>
    <col min="12294" max="12544" width="9.140625" style="127"/>
    <col min="12545" max="12545" width="31.28515625" style="127" customWidth="1"/>
    <col min="12546" max="12546" width="80.5703125" style="127" customWidth="1"/>
    <col min="12547" max="12547" width="21.85546875" style="127" customWidth="1"/>
    <col min="12548" max="12548" width="20.7109375" style="127" bestFit="1" customWidth="1"/>
    <col min="12549" max="12549" width="19.85546875" style="127" customWidth="1"/>
    <col min="12550" max="12800" width="9.140625" style="127"/>
    <col min="12801" max="12801" width="31.28515625" style="127" customWidth="1"/>
    <col min="12802" max="12802" width="80.5703125" style="127" customWidth="1"/>
    <col min="12803" max="12803" width="21.85546875" style="127" customWidth="1"/>
    <col min="12804" max="12804" width="20.7109375" style="127" bestFit="1" customWidth="1"/>
    <col min="12805" max="12805" width="19.85546875" style="127" customWidth="1"/>
    <col min="12806" max="13056" width="9.140625" style="127"/>
    <col min="13057" max="13057" width="31.28515625" style="127" customWidth="1"/>
    <col min="13058" max="13058" width="80.5703125" style="127" customWidth="1"/>
    <col min="13059" max="13059" width="21.85546875" style="127" customWidth="1"/>
    <col min="13060" max="13060" width="20.7109375" style="127" bestFit="1" customWidth="1"/>
    <col min="13061" max="13061" width="19.85546875" style="127" customWidth="1"/>
    <col min="13062" max="13312" width="9.140625" style="127"/>
    <col min="13313" max="13313" width="31.28515625" style="127" customWidth="1"/>
    <col min="13314" max="13314" width="80.5703125" style="127" customWidth="1"/>
    <col min="13315" max="13315" width="21.85546875" style="127" customWidth="1"/>
    <col min="13316" max="13316" width="20.7109375" style="127" bestFit="1" customWidth="1"/>
    <col min="13317" max="13317" width="19.85546875" style="127" customWidth="1"/>
    <col min="13318" max="13568" width="9.140625" style="127"/>
    <col min="13569" max="13569" width="31.28515625" style="127" customWidth="1"/>
    <col min="13570" max="13570" width="80.5703125" style="127" customWidth="1"/>
    <col min="13571" max="13571" width="21.85546875" style="127" customWidth="1"/>
    <col min="13572" max="13572" width="20.7109375" style="127" bestFit="1" customWidth="1"/>
    <col min="13573" max="13573" width="19.85546875" style="127" customWidth="1"/>
    <col min="13574" max="13824" width="9.140625" style="127"/>
    <col min="13825" max="13825" width="31.28515625" style="127" customWidth="1"/>
    <col min="13826" max="13826" width="80.5703125" style="127" customWidth="1"/>
    <col min="13827" max="13827" width="21.85546875" style="127" customWidth="1"/>
    <col min="13828" max="13828" width="20.7109375" style="127" bestFit="1" customWidth="1"/>
    <col min="13829" max="13829" width="19.85546875" style="127" customWidth="1"/>
    <col min="13830" max="14080" width="9.140625" style="127"/>
    <col min="14081" max="14081" width="31.28515625" style="127" customWidth="1"/>
    <col min="14082" max="14082" width="80.5703125" style="127" customWidth="1"/>
    <col min="14083" max="14083" width="21.85546875" style="127" customWidth="1"/>
    <col min="14084" max="14084" width="20.7109375" style="127" bestFit="1" customWidth="1"/>
    <col min="14085" max="14085" width="19.85546875" style="127" customWidth="1"/>
    <col min="14086" max="14336" width="9.140625" style="127"/>
    <col min="14337" max="14337" width="31.28515625" style="127" customWidth="1"/>
    <col min="14338" max="14338" width="80.5703125" style="127" customWidth="1"/>
    <col min="14339" max="14339" width="21.85546875" style="127" customWidth="1"/>
    <col min="14340" max="14340" width="20.7109375" style="127" bestFit="1" customWidth="1"/>
    <col min="14341" max="14341" width="19.85546875" style="127" customWidth="1"/>
    <col min="14342" max="14592" width="9.140625" style="127"/>
    <col min="14593" max="14593" width="31.28515625" style="127" customWidth="1"/>
    <col min="14594" max="14594" width="80.5703125" style="127" customWidth="1"/>
    <col min="14595" max="14595" width="21.85546875" style="127" customWidth="1"/>
    <col min="14596" max="14596" width="20.7109375" style="127" bestFit="1" customWidth="1"/>
    <col min="14597" max="14597" width="19.85546875" style="127" customWidth="1"/>
    <col min="14598" max="14848" width="9.140625" style="127"/>
    <col min="14849" max="14849" width="31.28515625" style="127" customWidth="1"/>
    <col min="14850" max="14850" width="80.5703125" style="127" customWidth="1"/>
    <col min="14851" max="14851" width="21.85546875" style="127" customWidth="1"/>
    <col min="14852" max="14852" width="20.7109375" style="127" bestFit="1" customWidth="1"/>
    <col min="14853" max="14853" width="19.85546875" style="127" customWidth="1"/>
    <col min="14854" max="15104" width="9.140625" style="127"/>
    <col min="15105" max="15105" width="31.28515625" style="127" customWidth="1"/>
    <col min="15106" max="15106" width="80.5703125" style="127" customWidth="1"/>
    <col min="15107" max="15107" width="21.85546875" style="127" customWidth="1"/>
    <col min="15108" max="15108" width="20.7109375" style="127" bestFit="1" customWidth="1"/>
    <col min="15109" max="15109" width="19.85546875" style="127" customWidth="1"/>
    <col min="15110" max="15360" width="9.140625" style="127"/>
    <col min="15361" max="15361" width="31.28515625" style="127" customWidth="1"/>
    <col min="15362" max="15362" width="80.5703125" style="127" customWidth="1"/>
    <col min="15363" max="15363" width="21.85546875" style="127" customWidth="1"/>
    <col min="15364" max="15364" width="20.7109375" style="127" bestFit="1" customWidth="1"/>
    <col min="15365" max="15365" width="19.85546875" style="127" customWidth="1"/>
    <col min="15366" max="15616" width="9.140625" style="127"/>
    <col min="15617" max="15617" width="31.28515625" style="127" customWidth="1"/>
    <col min="15618" max="15618" width="80.5703125" style="127" customWidth="1"/>
    <col min="15619" max="15619" width="21.85546875" style="127" customWidth="1"/>
    <col min="15620" max="15620" width="20.7109375" style="127" bestFit="1" customWidth="1"/>
    <col min="15621" max="15621" width="19.85546875" style="127" customWidth="1"/>
    <col min="15622" max="15872" width="9.140625" style="127"/>
    <col min="15873" max="15873" width="31.28515625" style="127" customWidth="1"/>
    <col min="15874" max="15874" width="80.5703125" style="127" customWidth="1"/>
    <col min="15875" max="15875" width="21.85546875" style="127" customWidth="1"/>
    <col min="15876" max="15876" width="20.7109375" style="127" bestFit="1" customWidth="1"/>
    <col min="15877" max="15877" width="19.85546875" style="127" customWidth="1"/>
    <col min="15878" max="16128" width="9.140625" style="127"/>
    <col min="16129" max="16129" width="31.28515625" style="127" customWidth="1"/>
    <col min="16130" max="16130" width="80.5703125" style="127" customWidth="1"/>
    <col min="16131" max="16131" width="21.85546875" style="127" customWidth="1"/>
    <col min="16132" max="16132" width="20.7109375" style="127" bestFit="1" customWidth="1"/>
    <col min="16133" max="16133" width="19.85546875" style="127" customWidth="1"/>
    <col min="16134" max="16384" width="9.140625" style="127"/>
  </cols>
  <sheetData>
    <row r="1" spans="1:6" ht="15.75" x14ac:dyDescent="0.2">
      <c r="B1" s="130"/>
      <c r="D1" s="145"/>
      <c r="E1" s="130" t="s">
        <v>417</v>
      </c>
    </row>
    <row r="2" spans="1:6" ht="15.75" x14ac:dyDescent="0.2">
      <c r="B2" s="130"/>
      <c r="D2" s="145"/>
      <c r="E2" s="130" t="s">
        <v>438</v>
      </c>
    </row>
    <row r="3" spans="1:6" ht="15.75" x14ac:dyDescent="0.2">
      <c r="B3" s="131"/>
      <c r="D3" s="145"/>
      <c r="E3" s="131" t="s">
        <v>439</v>
      </c>
    </row>
    <row r="4" spans="1:6" ht="15.75" x14ac:dyDescent="0.25">
      <c r="B4" s="146"/>
      <c r="C4" s="146"/>
      <c r="D4" s="146"/>
    </row>
    <row r="5" spans="1:6" ht="15.75" x14ac:dyDescent="0.25">
      <c r="B5" s="146"/>
      <c r="C5" s="146"/>
      <c r="D5" s="146"/>
    </row>
    <row r="6" spans="1:6" ht="18.75" x14ac:dyDescent="0.3">
      <c r="A6" s="231" t="s">
        <v>418</v>
      </c>
      <c r="B6" s="231"/>
      <c r="C6" s="231"/>
      <c r="D6" s="231"/>
      <c r="E6" s="231"/>
    </row>
    <row r="7" spans="1:6" ht="18.75" x14ac:dyDescent="0.2">
      <c r="B7" s="232"/>
      <c r="C7" s="232"/>
      <c r="D7" s="147"/>
    </row>
    <row r="8" spans="1:6" ht="15.75" x14ac:dyDescent="0.25">
      <c r="B8" s="146"/>
      <c r="C8" s="146"/>
      <c r="D8" s="147"/>
      <c r="E8" s="148" t="s">
        <v>104</v>
      </c>
      <c r="F8" s="146"/>
    </row>
    <row r="9" spans="1:6" ht="63" x14ac:dyDescent="0.2">
      <c r="A9" s="133" t="s">
        <v>419</v>
      </c>
      <c r="B9" s="149" t="s">
        <v>420</v>
      </c>
      <c r="C9" s="150">
        <v>2023</v>
      </c>
      <c r="D9" s="150">
        <v>2024</v>
      </c>
      <c r="E9" s="150">
        <v>2025</v>
      </c>
    </row>
    <row r="10" spans="1:6" ht="15.75" x14ac:dyDescent="0.2">
      <c r="A10" s="233"/>
      <c r="B10" s="151"/>
      <c r="C10" s="152"/>
      <c r="D10" s="152"/>
      <c r="E10" s="152"/>
    </row>
    <row r="11" spans="1:6" ht="15.75" x14ac:dyDescent="0.2">
      <c r="A11" s="234"/>
      <c r="B11" s="153" t="s">
        <v>421</v>
      </c>
      <c r="C11" s="154">
        <f>C13</f>
        <v>241813052.94316888</v>
      </c>
      <c r="D11" s="154">
        <f>D13</f>
        <v>21514609.705178559</v>
      </c>
      <c r="E11" s="154">
        <f>E13</f>
        <v>37759509.007409096</v>
      </c>
    </row>
    <row r="12" spans="1:6" ht="15.75" x14ac:dyDescent="0.2">
      <c r="A12" s="235"/>
      <c r="B12" s="155" t="s">
        <v>422</v>
      </c>
      <c r="C12" s="154"/>
      <c r="D12" s="154"/>
      <c r="E12" s="154"/>
    </row>
    <row r="13" spans="1:6" ht="15.75" x14ac:dyDescent="0.2">
      <c r="A13" s="156"/>
      <c r="B13" s="157" t="s">
        <v>423</v>
      </c>
      <c r="C13" s="158">
        <f>C14+C15</f>
        <v>241813052.94316888</v>
      </c>
      <c r="D13" s="158">
        <f>D14+D15</f>
        <v>21514609.705178559</v>
      </c>
      <c r="E13" s="158">
        <f>E14+E15</f>
        <v>37759509.007409096</v>
      </c>
    </row>
    <row r="14" spans="1:6" ht="31.5" x14ac:dyDescent="0.2">
      <c r="A14" s="134" t="s">
        <v>424</v>
      </c>
      <c r="B14" s="159" t="s">
        <v>425</v>
      </c>
      <c r="C14" s="160">
        <f>-'Доходы 1'!G70</f>
        <v>-974222711.88999987</v>
      </c>
      <c r="D14" s="160">
        <f>-'Доходы 1'!J70</f>
        <v>-500874812.72000003</v>
      </c>
      <c r="E14" s="160">
        <f>-'Доходы 1'!M70</f>
        <v>-516414142.72000003</v>
      </c>
    </row>
    <row r="15" spans="1:6" ht="31.5" x14ac:dyDescent="0.2">
      <c r="A15" s="134" t="s">
        <v>426</v>
      </c>
      <c r="B15" s="159" t="s">
        <v>427</v>
      </c>
      <c r="C15" s="161">
        <f>'По разделам 4'!J6</f>
        <v>1216035764.8331687</v>
      </c>
      <c r="D15" s="160">
        <f>'По разделам 4'!M6</f>
        <v>522389422.42517859</v>
      </c>
      <c r="E15" s="160">
        <f>'По разделам 4'!P6</f>
        <v>554173651.72740912</v>
      </c>
    </row>
    <row r="16" spans="1:6" ht="15.75" outlineLevel="1" x14ac:dyDescent="0.25">
      <c r="B16" s="146"/>
      <c r="C16" s="162"/>
      <c r="D16" s="162"/>
      <c r="E16" s="162"/>
    </row>
    <row r="17" spans="1:5" ht="15.75" outlineLevel="1" x14ac:dyDescent="0.25">
      <c r="C17" s="163"/>
      <c r="D17" s="164"/>
      <c r="E17" s="163"/>
    </row>
    <row r="18" spans="1:5" s="172" customFormat="1" outlineLevel="1" x14ac:dyDescent="0.2">
      <c r="A18" s="172" t="s">
        <v>431</v>
      </c>
      <c r="C18" s="173">
        <f>C11/'Доходы 1'!G5*100</f>
        <v>47.570324499345652</v>
      </c>
      <c r="D18" s="173">
        <f>D11/'Доходы 1'!J5*100</f>
        <v>4.3010740901872424</v>
      </c>
      <c r="E18" s="173">
        <f>E11/'Доходы 1'!M5*100</f>
        <v>7.3118657844121664</v>
      </c>
    </row>
    <row r="19" spans="1:5" outlineLevel="1" x14ac:dyDescent="0.2">
      <c r="C19" s="163"/>
      <c r="D19" s="163"/>
      <c r="E19" s="163"/>
    </row>
    <row r="22" spans="1:5" x14ac:dyDescent="0.2">
      <c r="C22" s="165"/>
      <c r="D22" s="166"/>
    </row>
  </sheetData>
  <mergeCells count="3">
    <mergeCell ref="A6:E6"/>
    <mergeCell ref="B7:C7"/>
    <mergeCell ref="A10:A1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Доходы 1</vt:lpstr>
      <vt:lpstr>Програм 2</vt:lpstr>
      <vt:lpstr>Непрограм 3</vt:lpstr>
      <vt:lpstr>По разделам 4</vt:lpstr>
      <vt:lpstr>Ведомств 5</vt:lpstr>
      <vt:lpstr>МБТ 6</vt:lpstr>
      <vt:lpstr>Источники 7</vt:lpstr>
      <vt:lpstr>'Ведомств 5'!Область_печати</vt:lpstr>
      <vt:lpstr>'Доходы 1'!Область_печати</vt:lpstr>
      <vt:lpstr>'Источники 7'!Область_печати</vt:lpstr>
      <vt:lpstr>'По разделам 4'!Область_печати</vt:lpstr>
      <vt:lpstr>'Програм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Николаевна Седых</dc:creator>
  <cp:lastModifiedBy>Константин Сергеевич Блинов</cp:lastModifiedBy>
  <cp:lastPrinted>2023-06-19T00:35:26Z</cp:lastPrinted>
  <dcterms:created xsi:type="dcterms:W3CDTF">2015-06-05T18:19:34Z</dcterms:created>
  <dcterms:modified xsi:type="dcterms:W3CDTF">2023-07-25T23:23:03Z</dcterms:modified>
</cp:coreProperties>
</file>